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ESCRITORIO\CUENTA PUBLICA DIF\2020 CUENTA PUBLICA\3ERTRIMESTRE 2020\Formatos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1835" firstSheet="1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5" l="1"/>
  <c r="E16" i="5"/>
  <c r="F16" i="5"/>
  <c r="C16" i="5"/>
  <c r="E68" i="1" l="1"/>
  <c r="B17" i="1" l="1"/>
  <c r="C13" i="11" l="1"/>
  <c r="D13" i="11" s="1"/>
  <c r="E13" i="11" s="1"/>
  <c r="F13" i="11" s="1"/>
  <c r="G13" i="11" s="1"/>
  <c r="C12" i="11"/>
  <c r="D12" i="11" s="1"/>
  <c r="E12" i="11" s="1"/>
  <c r="F12" i="11" s="1"/>
  <c r="G12" i="11" s="1"/>
  <c r="C11" i="11"/>
  <c r="D11" i="11" s="1"/>
  <c r="E11" i="11" s="1"/>
  <c r="F11" i="11" s="1"/>
  <c r="G11" i="11" s="1"/>
  <c r="C10" i="11"/>
  <c r="D10" i="11" s="1"/>
  <c r="E10" i="11" s="1"/>
  <c r="F10" i="11" s="1"/>
  <c r="G10" i="11" s="1"/>
  <c r="C9" i="11"/>
  <c r="D9" i="11" s="1"/>
  <c r="E9" i="11" s="1"/>
  <c r="F9" i="11" s="1"/>
  <c r="G9" i="11" s="1"/>
  <c r="C18" i="10"/>
  <c r="D18" i="10" s="1"/>
  <c r="E18" i="10" s="1"/>
  <c r="F18" i="10" s="1"/>
  <c r="G18" i="10" s="1"/>
  <c r="C14" i="10"/>
  <c r="D14" i="10" s="1"/>
  <c r="E14" i="10" s="1"/>
  <c r="F14" i="10" s="1"/>
  <c r="G14" i="10" s="1"/>
  <c r="C13" i="10"/>
  <c r="D13" i="10" s="1"/>
  <c r="E13" i="10" s="1"/>
  <c r="F13" i="10" s="1"/>
  <c r="G13" i="10" s="1"/>
  <c r="C12" i="10"/>
  <c r="D12" i="10" s="1"/>
  <c r="E12" i="10" s="1"/>
  <c r="F12" i="10" s="1"/>
  <c r="G12" i="10" s="1"/>
  <c r="D10" i="8"/>
  <c r="G27" i="7"/>
  <c r="G26" i="7"/>
  <c r="G25" i="7"/>
  <c r="G24" i="7"/>
  <c r="G23" i="7"/>
  <c r="G22" i="7"/>
  <c r="G21" i="7"/>
  <c r="B103" i="6"/>
  <c r="G74" i="6"/>
  <c r="C74" i="6"/>
  <c r="G73" i="6"/>
  <c r="C73" i="6"/>
  <c r="G72" i="6"/>
  <c r="C72" i="6"/>
  <c r="C70" i="6"/>
  <c r="C69" i="6"/>
  <c r="C68" i="6"/>
  <c r="C67" i="6"/>
  <c r="C66" i="6"/>
  <c r="C65" i="6"/>
  <c r="C64" i="6"/>
  <c r="C63" i="6"/>
  <c r="C61" i="6"/>
  <c r="C60" i="6"/>
  <c r="C59" i="6"/>
  <c r="C137" i="6" l="1"/>
  <c r="D137" i="6"/>
  <c r="E137" i="6"/>
  <c r="S129" i="24" s="1"/>
  <c r="F137" i="6"/>
  <c r="T129" i="24" s="1"/>
  <c r="B137" i="6"/>
  <c r="C62" i="6"/>
  <c r="D62" i="6"/>
  <c r="E62" i="6"/>
  <c r="F62" i="6"/>
  <c r="B62" i="6"/>
  <c r="P55" i="24" s="1"/>
  <c r="B8" i="10"/>
  <c r="P2" i="28" s="1"/>
  <c r="C6" i="23"/>
  <c r="C7" i="23" s="1"/>
  <c r="B9" i="1"/>
  <c r="P4" i="15" s="1"/>
  <c r="H25" i="23"/>
  <c r="G25" i="23"/>
  <c r="E5" i="13" s="1"/>
  <c r="F25" i="23"/>
  <c r="D5" i="13" s="1"/>
  <c r="E25" i="23"/>
  <c r="C5" i="12" s="1"/>
  <c r="D25" i="23"/>
  <c r="B5" i="13" s="1"/>
  <c r="G30" i="9"/>
  <c r="G28" i="9" s="1"/>
  <c r="U20" i="27" s="1"/>
  <c r="G31" i="9"/>
  <c r="U23" i="27" s="1"/>
  <c r="G29" i="9"/>
  <c r="G26" i="9"/>
  <c r="U18" i="27" s="1"/>
  <c r="G27" i="9"/>
  <c r="U19" i="27" s="1"/>
  <c r="G25" i="9"/>
  <c r="G24" i="9" s="1"/>
  <c r="U16" i="27" s="1"/>
  <c r="G23" i="9"/>
  <c r="G22" i="9"/>
  <c r="U14" i="27" s="1"/>
  <c r="G19" i="9"/>
  <c r="G18" i="9"/>
  <c r="G16" i="9" s="1"/>
  <c r="U9" i="27" s="1"/>
  <c r="G17" i="9"/>
  <c r="G14" i="9"/>
  <c r="U7" i="27" s="1"/>
  <c r="G15" i="9"/>
  <c r="U8" i="27" s="1"/>
  <c r="G13" i="9"/>
  <c r="G12" i="9" s="1"/>
  <c r="G11" i="9"/>
  <c r="U3" i="27"/>
  <c r="G73" i="8"/>
  <c r="G74" i="8"/>
  <c r="U66" i="26" s="1"/>
  <c r="G75" i="8"/>
  <c r="G72" i="8"/>
  <c r="G63" i="8"/>
  <c r="G64" i="8"/>
  <c r="G65" i="8"/>
  <c r="G66" i="8"/>
  <c r="G67" i="8"/>
  <c r="G68" i="8"/>
  <c r="G69" i="8"/>
  <c r="G70" i="8"/>
  <c r="G62" i="8"/>
  <c r="U54" i="26" s="1"/>
  <c r="G55" i="8"/>
  <c r="U47" i="26" s="1"/>
  <c r="G56" i="8"/>
  <c r="G57" i="8"/>
  <c r="U49" i="26" s="1"/>
  <c r="G58" i="8"/>
  <c r="G60" i="8"/>
  <c r="U52" i="26" s="1"/>
  <c r="G54" i="8"/>
  <c r="G46" i="8"/>
  <c r="G47" i="8"/>
  <c r="U39" i="26" s="1"/>
  <c r="G48" i="8"/>
  <c r="U40" i="26" s="1"/>
  <c r="G49" i="8"/>
  <c r="U41" i="26" s="1"/>
  <c r="G50" i="8"/>
  <c r="U42" i="26" s="1"/>
  <c r="G51" i="8"/>
  <c r="G52" i="8"/>
  <c r="U44" i="26" s="1"/>
  <c r="G45" i="8"/>
  <c r="G39" i="8"/>
  <c r="G40" i="8"/>
  <c r="U33" i="26" s="1"/>
  <c r="G41" i="8"/>
  <c r="U34" i="26" s="1"/>
  <c r="G38" i="8"/>
  <c r="U31" i="26" s="1"/>
  <c r="G11" i="8"/>
  <c r="G12" i="8"/>
  <c r="G13" i="8"/>
  <c r="G14" i="8"/>
  <c r="G15" i="8"/>
  <c r="G16" i="8"/>
  <c r="G17" i="8"/>
  <c r="G18" i="8"/>
  <c r="G20" i="8"/>
  <c r="G21" i="8"/>
  <c r="U14" i="26" s="1"/>
  <c r="G22" i="8"/>
  <c r="U15" i="26" s="1"/>
  <c r="G23" i="8"/>
  <c r="G24" i="8"/>
  <c r="U17" i="26" s="1"/>
  <c r="G26" i="8"/>
  <c r="U19" i="26" s="1"/>
  <c r="G28" i="8"/>
  <c r="U21" i="26" s="1"/>
  <c r="G29" i="8"/>
  <c r="U22" i="26" s="1"/>
  <c r="G30" i="8"/>
  <c r="G31" i="8"/>
  <c r="U24" i="26" s="1"/>
  <c r="G32" i="8"/>
  <c r="U25" i="26" s="1"/>
  <c r="G33" i="8"/>
  <c r="G34" i="8"/>
  <c r="G35" i="8"/>
  <c r="U28" i="26" s="1"/>
  <c r="G36" i="8"/>
  <c r="B10" i="6"/>
  <c r="B18" i="6"/>
  <c r="B28" i="6"/>
  <c r="B38" i="6"/>
  <c r="P31" i="24" s="1"/>
  <c r="B48" i="6"/>
  <c r="B58" i="6"/>
  <c r="P51" i="24" s="1"/>
  <c r="B71" i="6"/>
  <c r="P64" i="24" s="1"/>
  <c r="B75" i="6"/>
  <c r="P68" i="24" s="1"/>
  <c r="G137" i="6"/>
  <c r="U129" i="24" s="1"/>
  <c r="G81" i="6"/>
  <c r="G82" i="6"/>
  <c r="U75" i="24" s="1"/>
  <c r="G64" i="6"/>
  <c r="U57" i="24" s="1"/>
  <c r="G65" i="6"/>
  <c r="G66" i="6"/>
  <c r="U59" i="24" s="1"/>
  <c r="G67" i="6"/>
  <c r="U60" i="24" s="1"/>
  <c r="G68" i="6"/>
  <c r="U61" i="24" s="1"/>
  <c r="G69" i="6"/>
  <c r="G70" i="6"/>
  <c r="U63" i="24" s="1"/>
  <c r="G63" i="6"/>
  <c r="U56" i="24" s="1"/>
  <c r="G60" i="6"/>
  <c r="G58" i="6" s="1"/>
  <c r="U51" i="24" s="1"/>
  <c r="G61" i="6"/>
  <c r="G59" i="6"/>
  <c r="G18" i="6"/>
  <c r="B7" i="13"/>
  <c r="P2" i="31" s="1"/>
  <c r="G10" i="6"/>
  <c r="G28" i="5"/>
  <c r="F20" i="23"/>
  <c r="B6" i="2" s="1"/>
  <c r="E20" i="23"/>
  <c r="F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D7" i="13"/>
  <c r="R2" i="31" s="1"/>
  <c r="E7" i="13"/>
  <c r="E29" i="13" s="1"/>
  <c r="S22" i="31" s="1"/>
  <c r="F7" i="13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C28" i="12"/>
  <c r="Q21" i="30" s="1"/>
  <c r="D28" i="12"/>
  <c r="R21" i="30" s="1"/>
  <c r="E28" i="12"/>
  <c r="S21" i="30" s="1"/>
  <c r="F28" i="12"/>
  <c r="G28" i="12"/>
  <c r="U21" i="30" s="1"/>
  <c r="P22" i="30"/>
  <c r="Q22" i="30"/>
  <c r="R22" i="30"/>
  <c r="S22" i="30"/>
  <c r="T22" i="30"/>
  <c r="U22" i="30"/>
  <c r="B7" i="12"/>
  <c r="P2" i="30" s="1"/>
  <c r="C7" i="12"/>
  <c r="D7" i="12"/>
  <c r="R2" i="30" s="1"/>
  <c r="E7" i="12"/>
  <c r="S2" i="30" s="1"/>
  <c r="F7" i="12"/>
  <c r="T2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C19" i="11"/>
  <c r="Q12" i="29" s="1"/>
  <c r="D19" i="11"/>
  <c r="R12" i="29" s="1"/>
  <c r="E19" i="11"/>
  <c r="S12" i="29" s="1"/>
  <c r="F19" i="1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Q2" i="29" s="1"/>
  <c r="D8" i="11"/>
  <c r="D30" i="11" s="1"/>
  <c r="R22" i="29" s="1"/>
  <c r="E8" i="11"/>
  <c r="S2" i="29" s="1"/>
  <c r="E30" i="11"/>
  <c r="S22" i="29" s="1"/>
  <c r="F8" i="11"/>
  <c r="T2" i="29" s="1"/>
  <c r="G8" i="1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D29" i="10"/>
  <c r="D32" i="10" s="1"/>
  <c r="R23" i="28" s="1"/>
  <c r="E29" i="10"/>
  <c r="S21" i="28" s="1"/>
  <c r="F29" i="10"/>
  <c r="G29" i="10"/>
  <c r="U21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B32" i="10" s="1"/>
  <c r="P23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R9" i="27" s="1"/>
  <c r="E12" i="9"/>
  <c r="E16" i="9"/>
  <c r="S9" i="27" s="1"/>
  <c r="F12" i="9"/>
  <c r="F16" i="9"/>
  <c r="Q3" i="27"/>
  <c r="R3" i="27"/>
  <c r="S3" i="27"/>
  <c r="T3" i="27"/>
  <c r="Q4" i="27"/>
  <c r="R4" i="27"/>
  <c r="S4" i="27"/>
  <c r="T4" i="27"/>
  <c r="U4" i="27"/>
  <c r="Q6" i="27"/>
  <c r="R6" i="27"/>
  <c r="S6" i="27"/>
  <c r="T6" i="27"/>
  <c r="Q7" i="27"/>
  <c r="R7" i="27"/>
  <c r="S7" i="27"/>
  <c r="T7" i="27"/>
  <c r="Q8" i="27"/>
  <c r="R8" i="27"/>
  <c r="S8" i="27"/>
  <c r="T8" i="27"/>
  <c r="T9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U12" i="27"/>
  <c r="C24" i="9"/>
  <c r="Q16" i="27" s="1"/>
  <c r="C28" i="9"/>
  <c r="D24" i="9"/>
  <c r="D28" i="9"/>
  <c r="R20" i="27" s="1"/>
  <c r="E24" i="9"/>
  <c r="S16" i="27" s="1"/>
  <c r="E28" i="9"/>
  <c r="F24" i="9"/>
  <c r="T16" i="27" s="1"/>
  <c r="F28" i="9"/>
  <c r="F21" i="9" s="1"/>
  <c r="T13" i="27" s="1"/>
  <c r="Q14" i="27"/>
  <c r="R14" i="27"/>
  <c r="S14" i="27"/>
  <c r="T14" i="27"/>
  <c r="Q15" i="27"/>
  <c r="R15" i="27"/>
  <c r="S15" i="27"/>
  <c r="T15" i="27"/>
  <c r="U15" i="27"/>
  <c r="R16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Q20" i="27"/>
  <c r="S20" i="27"/>
  <c r="T20" i="27"/>
  <c r="Q21" i="27"/>
  <c r="R21" i="27"/>
  <c r="S21" i="27"/>
  <c r="T21" i="27"/>
  <c r="U21" i="27"/>
  <c r="Q22" i="27"/>
  <c r="R22" i="27"/>
  <c r="S22" i="27"/>
  <c r="T22" i="27"/>
  <c r="Q23" i="27"/>
  <c r="R23" i="27"/>
  <c r="S23" i="27"/>
  <c r="T23" i="27"/>
  <c r="P3" i="27"/>
  <c r="P4" i="27"/>
  <c r="B12" i="9"/>
  <c r="P5" i="27" s="1"/>
  <c r="P6" i="27"/>
  <c r="P7" i="27"/>
  <c r="P8" i="27"/>
  <c r="B16" i="9"/>
  <c r="P10" i="27"/>
  <c r="P11" i="27"/>
  <c r="P12" i="27"/>
  <c r="B24" i="9"/>
  <c r="B28" i="9"/>
  <c r="P20" i="27" s="1"/>
  <c r="P14" i="27"/>
  <c r="P15" i="27"/>
  <c r="P16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Q12" i="26" s="1"/>
  <c r="C27" i="8"/>
  <c r="Q20" i="26" s="1"/>
  <c r="C37" i="8"/>
  <c r="Q30" i="26" s="1"/>
  <c r="R3" i="26"/>
  <c r="D19" i="8"/>
  <c r="D27" i="8"/>
  <c r="R20" i="26" s="1"/>
  <c r="D37" i="8"/>
  <c r="R30" i="26" s="1"/>
  <c r="E10" i="8"/>
  <c r="E19" i="8"/>
  <c r="S12" i="26" s="1"/>
  <c r="E27" i="8"/>
  <c r="S20" i="26" s="1"/>
  <c r="E37" i="8"/>
  <c r="S30" i="26" s="1"/>
  <c r="F10" i="8"/>
  <c r="T3" i="26" s="1"/>
  <c r="F19" i="8"/>
  <c r="T12" i="26" s="1"/>
  <c r="F27" i="8"/>
  <c r="F37" i="8"/>
  <c r="T30" i="26" s="1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R12" i="26"/>
  <c r="Q13" i="26"/>
  <c r="R13" i="26"/>
  <c r="S13" i="26"/>
  <c r="T13" i="26"/>
  <c r="U13" i="26"/>
  <c r="Q14" i="26"/>
  <c r="R14" i="26"/>
  <c r="S14" i="26"/>
  <c r="T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Q18" i="26"/>
  <c r="R18" i="26"/>
  <c r="S18" i="26"/>
  <c r="T18" i="26"/>
  <c r="U18" i="26"/>
  <c r="Q19" i="26"/>
  <c r="R19" i="26"/>
  <c r="S19" i="26"/>
  <c r="T19" i="26"/>
  <c r="Q21" i="26"/>
  <c r="R21" i="26"/>
  <c r="S21" i="26"/>
  <c r="T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Q25" i="26"/>
  <c r="R25" i="26"/>
  <c r="S25" i="26"/>
  <c r="T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Q29" i="26"/>
  <c r="R29" i="26"/>
  <c r="S29" i="26"/>
  <c r="T29" i="26"/>
  <c r="U29" i="26"/>
  <c r="Q31" i="26"/>
  <c r="R31" i="26"/>
  <c r="S31" i="26"/>
  <c r="T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E71" i="8"/>
  <c r="S63" i="26" s="1"/>
  <c r="F44" i="8"/>
  <c r="T36" i="26" s="1"/>
  <c r="F53" i="8"/>
  <c r="T45" i="26" s="1"/>
  <c r="F61" i="8"/>
  <c r="T53" i="26" s="1"/>
  <c r="F71" i="8"/>
  <c r="T63" i="26" s="1"/>
  <c r="R36" i="26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Q41" i="26"/>
  <c r="R41" i="26"/>
  <c r="S41" i="26"/>
  <c r="T41" i="26"/>
  <c r="Q42" i="26"/>
  <c r="R42" i="26"/>
  <c r="S42" i="26"/>
  <c r="T42" i="26"/>
  <c r="Q43" i="26"/>
  <c r="R43" i="26"/>
  <c r="S43" i="26"/>
  <c r="T43" i="26"/>
  <c r="U43" i="26"/>
  <c r="Q44" i="26"/>
  <c r="R44" i="26"/>
  <c r="S44" i="26"/>
  <c r="T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4" i="26"/>
  <c r="R64" i="26"/>
  <c r="S64" i="26"/>
  <c r="T64" i="26"/>
  <c r="Q65" i="26"/>
  <c r="R65" i="26"/>
  <c r="S65" i="26"/>
  <c r="T65" i="26"/>
  <c r="U65" i="26"/>
  <c r="Q66" i="26"/>
  <c r="R66" i="26"/>
  <c r="S66" i="26"/>
  <c r="T66" i="26"/>
  <c r="Q67" i="26"/>
  <c r="R67" i="26"/>
  <c r="S67" i="26"/>
  <c r="T67" i="26"/>
  <c r="U67" i="26"/>
  <c r="B44" i="8"/>
  <c r="P36" i="26" s="1"/>
  <c r="B53" i="8"/>
  <c r="B61" i="8"/>
  <c r="P53" i="26" s="1"/>
  <c r="B71" i="8"/>
  <c r="P63" i="26" s="1"/>
  <c r="B10" i="8"/>
  <c r="P3" i="26" s="1"/>
  <c r="B19" i="8"/>
  <c r="P12" i="26" s="1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G19" i="7"/>
  <c r="U3" i="25" s="1"/>
  <c r="F9" i="7"/>
  <c r="F19" i="7"/>
  <c r="T3" i="25" s="1"/>
  <c r="E9" i="7"/>
  <c r="E19" i="7"/>
  <c r="S3" i="25" s="1"/>
  <c r="D9" i="7"/>
  <c r="R2" i="25" s="1"/>
  <c r="D19" i="7"/>
  <c r="R3" i="25" s="1"/>
  <c r="C9" i="7"/>
  <c r="Q2" i="25" s="1"/>
  <c r="C19" i="7"/>
  <c r="Q3" i="25" s="1"/>
  <c r="B9" i="7"/>
  <c r="B19" i="7"/>
  <c r="P3" i="25" s="1"/>
  <c r="A3" i="25"/>
  <c r="A4" i="25"/>
  <c r="A2" i="25"/>
  <c r="A87" i="24"/>
  <c r="C85" i="6"/>
  <c r="Q105" i="24"/>
  <c r="Q125" i="24"/>
  <c r="C146" i="6"/>
  <c r="Q138" i="24" s="1"/>
  <c r="C150" i="6"/>
  <c r="Q142" i="24" s="1"/>
  <c r="D85" i="6"/>
  <c r="R77" i="24" s="1"/>
  <c r="R105" i="24"/>
  <c r="R115" i="24"/>
  <c r="D146" i="6"/>
  <c r="R138" i="24" s="1"/>
  <c r="D150" i="6"/>
  <c r="R142" i="24" s="1"/>
  <c r="E85" i="6"/>
  <c r="S77" i="24" s="1"/>
  <c r="S105" i="24"/>
  <c r="S115" i="24"/>
  <c r="S125" i="24"/>
  <c r="E146" i="6"/>
  <c r="E150" i="6"/>
  <c r="S142" i="24" s="1"/>
  <c r="F85" i="6"/>
  <c r="T77" i="24" s="1"/>
  <c r="T105" i="24"/>
  <c r="F146" i="6"/>
  <c r="T138" i="24" s="1"/>
  <c r="F150" i="6"/>
  <c r="T142" i="24" s="1"/>
  <c r="G85" i="6"/>
  <c r="U77" i="24" s="1"/>
  <c r="U105" i="24"/>
  <c r="U115" i="24"/>
  <c r="U125" i="24"/>
  <c r="G146" i="6"/>
  <c r="G150" i="6"/>
  <c r="U142" i="24" s="1"/>
  <c r="Q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T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S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 s="1"/>
  <c r="C18" i="6"/>
  <c r="Q11" i="24" s="1"/>
  <c r="C28" i="6"/>
  <c r="C38" i="6"/>
  <c r="Q31" i="24" s="1"/>
  <c r="C48" i="6"/>
  <c r="Q41" i="24" s="1"/>
  <c r="C58" i="6"/>
  <c r="C71" i="6"/>
  <c r="Q64" i="24" s="1"/>
  <c r="C75" i="6"/>
  <c r="D10" i="6"/>
  <c r="R3" i="24" s="1"/>
  <c r="D18" i="6"/>
  <c r="R11" i="24" s="1"/>
  <c r="D28" i="6"/>
  <c r="D38" i="6"/>
  <c r="R31" i="24" s="1"/>
  <c r="D48" i="6"/>
  <c r="R41" i="24" s="1"/>
  <c r="D58" i="6"/>
  <c r="R51" i="24" s="1"/>
  <c r="D71" i="6"/>
  <c r="D75" i="6"/>
  <c r="R68" i="24" s="1"/>
  <c r="E10" i="6"/>
  <c r="S3" i="24" s="1"/>
  <c r="E18" i="6"/>
  <c r="S11" i="24" s="1"/>
  <c r="E28" i="6"/>
  <c r="E38" i="6"/>
  <c r="S31" i="24" s="1"/>
  <c r="E48" i="6"/>
  <c r="S41" i="24" s="1"/>
  <c r="E58" i="6"/>
  <c r="S51" i="24" s="1"/>
  <c r="E71" i="6"/>
  <c r="S64" i="24" s="1"/>
  <c r="E75" i="6"/>
  <c r="F10" i="6"/>
  <c r="T3" i="24" s="1"/>
  <c r="F18" i="6"/>
  <c r="T11" i="24" s="1"/>
  <c r="F28" i="6"/>
  <c r="F38" i="6"/>
  <c r="T31" i="24" s="1"/>
  <c r="F48" i="6"/>
  <c r="T41" i="24" s="1"/>
  <c r="F58" i="6"/>
  <c r="T51" i="24" s="1"/>
  <c r="F71" i="6"/>
  <c r="F75" i="6"/>
  <c r="T68" i="24" s="1"/>
  <c r="G28" i="6"/>
  <c r="U21" i="24" s="1"/>
  <c r="G38" i="6"/>
  <c r="U31" i="24" s="1"/>
  <c r="G71" i="6"/>
  <c r="U64" i="24" s="1"/>
  <c r="G75" i="6"/>
  <c r="U68" i="24" s="1"/>
  <c r="B85" i="6"/>
  <c r="P77" i="24" s="1"/>
  <c r="B113" i="6"/>
  <c r="P105" i="24" s="1"/>
  <c r="B123" i="6"/>
  <c r="P115" i="24" s="1"/>
  <c r="B133" i="6"/>
  <c r="B146" i="6"/>
  <c r="B150" i="6"/>
  <c r="P142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R21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Q60" i="24"/>
  <c r="R60" i="24"/>
  <c r="S60" i="24"/>
  <c r="T60" i="24"/>
  <c r="Q61" i="24"/>
  <c r="R61" i="24"/>
  <c r="S61" i="24"/>
  <c r="T61" i="24"/>
  <c r="Q62" i="24"/>
  <c r="R62" i="24"/>
  <c r="S62" i="24"/>
  <c r="T62" i="24"/>
  <c r="U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S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6" i="5"/>
  <c r="G47" i="5"/>
  <c r="U39" i="20" s="1"/>
  <c r="G48" i="5"/>
  <c r="U40" i="20" s="1"/>
  <c r="G49" i="5"/>
  <c r="U41" i="20" s="1"/>
  <c r="G50" i="5"/>
  <c r="U42" i="20" s="1"/>
  <c r="G51" i="5"/>
  <c r="G52" i="5"/>
  <c r="G53" i="5"/>
  <c r="U45" i="20" s="1"/>
  <c r="U38" i="20"/>
  <c r="U43" i="20"/>
  <c r="U44" i="20"/>
  <c r="G55" i="5"/>
  <c r="U47" i="20" s="1"/>
  <c r="G56" i="5"/>
  <c r="G57" i="5"/>
  <c r="U49" i="20" s="1"/>
  <c r="G58" i="5"/>
  <c r="U50" i="20" s="1"/>
  <c r="G60" i="5"/>
  <c r="G61" i="5"/>
  <c r="U53" i="20" s="1"/>
  <c r="G62" i="5"/>
  <c r="U54" i="20"/>
  <c r="G63" i="5"/>
  <c r="U55" i="20" s="1"/>
  <c r="G67" i="5"/>
  <c r="U57" i="20" s="1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C41" i="5" s="1"/>
  <c r="Q34" i="20" s="1"/>
  <c r="D28" i="5"/>
  <c r="R22" i="20" s="1"/>
  <c r="E28" i="5"/>
  <c r="S22" i="20" s="1"/>
  <c r="F28" i="5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65" i="5"/>
  <c r="Q56" i="20" s="1"/>
  <c r="Q37" i="20"/>
  <c r="R37" i="20"/>
  <c r="S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D65" i="5"/>
  <c r="R56" i="20" s="1"/>
  <c r="E65" i="5"/>
  <c r="S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P37" i="20"/>
  <c r="B28" i="5"/>
  <c r="P22" i="20" s="1"/>
  <c r="P29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B6" i="1" s="1"/>
  <c r="F18" i="23"/>
  <c r="K6" i="3" s="1"/>
  <c r="E18" i="23"/>
  <c r="J6" i="3" s="1"/>
  <c r="D18" i="23"/>
  <c r="I6" i="3" s="1"/>
  <c r="E6" i="1"/>
  <c r="F5" i="13"/>
  <c r="B5" i="12"/>
  <c r="F5" i="12"/>
  <c r="I25" i="23"/>
  <c r="D23" i="23"/>
  <c r="B6" i="11"/>
  <c r="I23" i="23"/>
  <c r="G6" i="11" s="1"/>
  <c r="H23" i="23"/>
  <c r="F6" i="10" s="1"/>
  <c r="G23" i="23"/>
  <c r="E6" i="11" s="1"/>
  <c r="F23" i="23"/>
  <c r="D6" i="10" s="1"/>
  <c r="E23" i="23"/>
  <c r="C6" i="11" s="1"/>
  <c r="G6" i="10"/>
  <c r="B6" i="10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4" i="3" s="1"/>
  <c r="Y4" i="17" s="1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K9" i="3"/>
  <c r="K10" i="3"/>
  <c r="K11" i="3"/>
  <c r="K12" i="3"/>
  <c r="J8" i="3"/>
  <c r="X3" i="17" s="1"/>
  <c r="H8" i="3"/>
  <c r="G8" i="3"/>
  <c r="U3" i="17" s="1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B63" i="4"/>
  <c r="B55" i="4"/>
  <c r="B53" i="4"/>
  <c r="P30" i="18" s="1"/>
  <c r="B49" i="4"/>
  <c r="B48" i="4"/>
  <c r="P26" i="18" s="1"/>
  <c r="B37" i="4"/>
  <c r="B44" i="4" s="1"/>
  <c r="B11" i="4" s="1"/>
  <c r="B29" i="4"/>
  <c r="P15" i="18" s="1"/>
  <c r="B17" i="4"/>
  <c r="B13" i="4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27" i="18"/>
  <c r="P28" i="18"/>
  <c r="P29" i="18"/>
  <c r="P20" i="18"/>
  <c r="P21" i="18"/>
  <c r="P23" i="18"/>
  <c r="P24" i="18"/>
  <c r="P16" i="18"/>
  <c r="P17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 s="1"/>
  <c r="F31" i="1"/>
  <c r="Q80" i="15" s="1"/>
  <c r="F38" i="1"/>
  <c r="Q87" i="15" s="1"/>
  <c r="F42" i="1"/>
  <c r="Q91" i="15" s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/>
  <c r="Q117" i="15"/>
  <c r="Q118" i="15"/>
  <c r="E9" i="1"/>
  <c r="E19" i="1"/>
  <c r="P67" i="15" s="1"/>
  <c r="E23" i="1"/>
  <c r="E27" i="1"/>
  <c r="P76" i="15" s="1"/>
  <c r="E31" i="1"/>
  <c r="P80" i="15" s="1"/>
  <c r="E38" i="1"/>
  <c r="P87" i="15" s="1"/>
  <c r="E42" i="1"/>
  <c r="P91" i="15" s="1"/>
  <c r="E57" i="1"/>
  <c r="P103" i="15" s="1"/>
  <c r="E63" i="1"/>
  <c r="P106" i="15" s="1"/>
  <c r="P110" i="15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C9" i="1"/>
  <c r="Q4" i="15" s="1"/>
  <c r="C17" i="1"/>
  <c r="C25" i="1"/>
  <c r="Q20" i="15" s="1"/>
  <c r="C31" i="1"/>
  <c r="Q26" i="15" s="1"/>
  <c r="C38" i="1"/>
  <c r="Q34" i="15" s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Q36" i="18" s="1"/>
  <c r="D68" i="4"/>
  <c r="R36" i="18" s="1"/>
  <c r="C64" i="4"/>
  <c r="Q33" i="18" s="1"/>
  <c r="D64" i="4"/>
  <c r="R33" i="18" s="1"/>
  <c r="C63" i="4"/>
  <c r="D63" i="4"/>
  <c r="C48" i="4"/>
  <c r="C55" i="4"/>
  <c r="Q31" i="18" s="1"/>
  <c r="D55" i="4"/>
  <c r="C53" i="4"/>
  <c r="Q30" i="18" s="1"/>
  <c r="D53" i="4"/>
  <c r="R30" i="18" s="1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C44" i="4" s="1"/>
  <c r="D37" i="4"/>
  <c r="R19" i="18" s="1"/>
  <c r="C17" i="4"/>
  <c r="Q9" i="18" s="1"/>
  <c r="C13" i="4"/>
  <c r="Q6" i="18" s="1"/>
  <c r="D13" i="4"/>
  <c r="R6" i="18" s="1"/>
  <c r="C13" i="2"/>
  <c r="Q8" i="16" s="1"/>
  <c r="D13" i="2"/>
  <c r="R8" i="16"/>
  <c r="E13" i="2"/>
  <c r="S8" i="16"/>
  <c r="F13" i="2"/>
  <c r="T8" i="16" s="1"/>
  <c r="G13" i="2"/>
  <c r="U8" i="16" s="1"/>
  <c r="H13" i="2"/>
  <c r="V8" i="16" s="1"/>
  <c r="B13" i="2"/>
  <c r="P8" i="16" s="1"/>
  <c r="C9" i="2"/>
  <c r="Q4" i="16" s="1"/>
  <c r="D9" i="2"/>
  <c r="D8" i="2" s="1"/>
  <c r="R3" i="16" s="1"/>
  <c r="R4" i="16"/>
  <c r="E9" i="2"/>
  <c r="S4" i="16" s="1"/>
  <c r="F9" i="2"/>
  <c r="T4" i="16" s="1"/>
  <c r="G9" i="2"/>
  <c r="U4" i="16" s="1"/>
  <c r="H9" i="2"/>
  <c r="V4" i="16" s="1"/>
  <c r="B9" i="2"/>
  <c r="P4" i="16" s="1"/>
  <c r="R31" i="18"/>
  <c r="Q19" i="18"/>
  <c r="Q26" i="18"/>
  <c r="Q67" i="15"/>
  <c r="Q25" i="18" l="1"/>
  <c r="C11" i="4"/>
  <c r="Q5" i="18" s="1"/>
  <c r="C32" i="10"/>
  <c r="Q23" i="28" s="1"/>
  <c r="G61" i="8"/>
  <c r="U53" i="26" s="1"/>
  <c r="K8" i="3"/>
  <c r="U6" i="27"/>
  <c r="U22" i="27"/>
  <c r="E21" i="9"/>
  <c r="S13" i="27" s="1"/>
  <c r="D21" i="9"/>
  <c r="R13" i="27" s="1"/>
  <c r="U11" i="27"/>
  <c r="F32" i="10"/>
  <c r="T23" i="28" s="1"/>
  <c r="C29" i="13"/>
  <c r="Q22" i="31" s="1"/>
  <c r="A2" i="14"/>
  <c r="G59" i="5"/>
  <c r="U51" i="20" s="1"/>
  <c r="B21" i="9"/>
  <c r="P13" i="27" s="1"/>
  <c r="E9" i="9"/>
  <c r="S2" i="27" s="1"/>
  <c r="C9" i="9"/>
  <c r="G30" i="11"/>
  <c r="U22" i="29" s="1"/>
  <c r="F29" i="13"/>
  <c r="T22" i="31" s="1"/>
  <c r="Q2" i="31"/>
  <c r="T2" i="31"/>
  <c r="C5" i="13"/>
  <c r="C21" i="9"/>
  <c r="Q13" i="27" s="1"/>
  <c r="D57" i="4"/>
  <c r="D59" i="4" s="1"/>
  <c r="F6" i="11"/>
  <c r="S5" i="27"/>
  <c r="C6" i="1"/>
  <c r="G37" i="8"/>
  <c r="U30" i="26" s="1"/>
  <c r="G44" i="8"/>
  <c r="U36" i="26" s="1"/>
  <c r="G53" i="8"/>
  <c r="U45" i="26" s="1"/>
  <c r="D6" i="11"/>
  <c r="F31" i="12"/>
  <c r="T23" i="30" s="1"/>
  <c r="G71" i="8"/>
  <c r="U63" i="26" s="1"/>
  <c r="P19" i="18"/>
  <c r="E6" i="10"/>
  <c r="U64" i="26"/>
  <c r="B9" i="9"/>
  <c r="E31" i="12"/>
  <c r="S23" i="30" s="1"/>
  <c r="S2" i="31"/>
  <c r="B29" i="13"/>
  <c r="P22" i="31" s="1"/>
  <c r="G48" i="6"/>
  <c r="U41" i="24" s="1"/>
  <c r="D29" i="13"/>
  <c r="R22" i="31" s="1"/>
  <c r="G31" i="12"/>
  <c r="U23" i="30" s="1"/>
  <c r="C31" i="12"/>
  <c r="Q23" i="30" s="1"/>
  <c r="B31" i="12"/>
  <c r="P23" i="30" s="1"/>
  <c r="C30" i="11"/>
  <c r="Q22" i="29" s="1"/>
  <c r="U2" i="29"/>
  <c r="B30" i="11"/>
  <c r="P22" i="29" s="1"/>
  <c r="F30" i="11"/>
  <c r="T22" i="29" s="1"/>
  <c r="Q21" i="28"/>
  <c r="P21" i="28"/>
  <c r="E32" i="10"/>
  <c r="S23" i="28" s="1"/>
  <c r="G32" i="10"/>
  <c r="U23" i="28" s="1"/>
  <c r="G21" i="9"/>
  <c r="U13" i="27" s="1"/>
  <c r="F9" i="9"/>
  <c r="T2" i="27" s="1"/>
  <c r="T5" i="27"/>
  <c r="G9" i="9"/>
  <c r="U2" i="27" s="1"/>
  <c r="B43" i="8"/>
  <c r="P35" i="26" s="1"/>
  <c r="P45" i="26"/>
  <c r="U50" i="26"/>
  <c r="C43" i="8"/>
  <c r="U38" i="26"/>
  <c r="E43" i="8"/>
  <c r="D43" i="8"/>
  <c r="R35" i="26" s="1"/>
  <c r="G27" i="8"/>
  <c r="U20" i="26" s="1"/>
  <c r="G19" i="8"/>
  <c r="U12" i="26" s="1"/>
  <c r="G10" i="8"/>
  <c r="U3" i="26" s="1"/>
  <c r="E9" i="8"/>
  <c r="S2" i="26" s="1"/>
  <c r="F9" i="8"/>
  <c r="T2" i="26" s="1"/>
  <c r="D9" i="8"/>
  <c r="R2" i="26" s="1"/>
  <c r="G62" i="6"/>
  <c r="U55" i="24" s="1"/>
  <c r="B9" i="6"/>
  <c r="P2" i="24" s="1"/>
  <c r="E9" i="6"/>
  <c r="S2" i="24" s="1"/>
  <c r="F9" i="6"/>
  <c r="T2" i="24" s="1"/>
  <c r="G45" i="5"/>
  <c r="U37" i="20" s="1"/>
  <c r="D41" i="5"/>
  <c r="D70" i="5" s="1"/>
  <c r="Q22" i="20"/>
  <c r="C72" i="4"/>
  <c r="Q38" i="18" s="1"/>
  <c r="C57" i="4"/>
  <c r="C59" i="4" s="1"/>
  <c r="B72" i="4"/>
  <c r="Q32" i="18"/>
  <c r="C74" i="4"/>
  <c r="Q39" i="18" s="1"/>
  <c r="B57" i="4"/>
  <c r="B59" i="4" s="1"/>
  <c r="T22" i="20"/>
  <c r="F41" i="5"/>
  <c r="T37" i="20"/>
  <c r="F65" i="5"/>
  <c r="T56" i="20" s="1"/>
  <c r="D44" i="4"/>
  <c r="B65" i="5"/>
  <c r="P56" i="20" s="1"/>
  <c r="P46" i="20"/>
  <c r="D20" i="2"/>
  <c r="R13" i="16" s="1"/>
  <c r="P25" i="18"/>
  <c r="E41" i="5"/>
  <c r="U52" i="20"/>
  <c r="U48" i="20"/>
  <c r="G54" i="5"/>
  <c r="R32" i="18"/>
  <c r="D72" i="4"/>
  <c r="S21" i="24"/>
  <c r="G41" i="5"/>
  <c r="U10" i="20"/>
  <c r="C70" i="5"/>
  <c r="P5" i="18"/>
  <c r="B8" i="4"/>
  <c r="Q21" i="24"/>
  <c r="C9" i="6"/>
  <c r="F84" i="6"/>
  <c r="T76" i="24" s="1"/>
  <c r="T85" i="24"/>
  <c r="E84" i="6"/>
  <c r="S76" i="24" s="1"/>
  <c r="S85" i="24"/>
  <c r="B41" i="5"/>
  <c r="D84" i="6"/>
  <c r="R76" i="24" s="1"/>
  <c r="P2" i="27"/>
  <c r="B33" i="9"/>
  <c r="P24" i="27" s="1"/>
  <c r="G9" i="8"/>
  <c r="U2" i="26" s="1"/>
  <c r="C6" i="10"/>
  <c r="B84" i="6"/>
  <c r="P76" i="24" s="1"/>
  <c r="D9" i="6"/>
  <c r="R85" i="24"/>
  <c r="G84" i="6"/>
  <c r="U76" i="24" s="1"/>
  <c r="U85" i="24"/>
  <c r="C84" i="6"/>
  <c r="Q76" i="24" s="1"/>
  <c r="Q85" i="24"/>
  <c r="S35" i="26"/>
  <c r="Q35" i="26"/>
  <c r="E33" i="9"/>
  <c r="S24" i="27" s="1"/>
  <c r="Q2" i="27"/>
  <c r="C33" i="9"/>
  <c r="Q24" i="27" s="1"/>
  <c r="B9" i="8"/>
  <c r="P2" i="26" s="1"/>
  <c r="S53" i="26"/>
  <c r="T20" i="26"/>
  <c r="P9" i="27"/>
  <c r="U5" i="27"/>
  <c r="Q5" i="27"/>
  <c r="D9" i="9"/>
  <c r="R2" i="27" s="1"/>
  <c r="T21" i="28"/>
  <c r="R21" i="28"/>
  <c r="R2" i="29"/>
  <c r="T12" i="29"/>
  <c r="P12" i="29"/>
  <c r="D31" i="12"/>
  <c r="R23" i="30" s="1"/>
  <c r="T21" i="30"/>
  <c r="P21" i="30"/>
  <c r="G29" i="13"/>
  <c r="U22" i="31" s="1"/>
  <c r="P12" i="31"/>
  <c r="F43" i="8"/>
  <c r="C9" i="8"/>
  <c r="Q2" i="26" s="1"/>
  <c r="U2" i="30"/>
  <c r="Q2" i="30"/>
  <c r="K20" i="3"/>
  <c r="Y5" i="17" s="1"/>
  <c r="B29" i="7"/>
  <c r="P4" i="25" s="1"/>
  <c r="F29" i="7"/>
  <c r="T4" i="25" s="1"/>
  <c r="J20" i="3"/>
  <c r="X5" i="17" s="1"/>
  <c r="I20" i="3"/>
  <c r="W5" i="17" s="1"/>
  <c r="H20" i="3"/>
  <c r="V5" i="17" s="1"/>
  <c r="G20" i="3"/>
  <c r="U5" i="17" s="1"/>
  <c r="W3" i="17"/>
  <c r="E20" i="3"/>
  <c r="S5" i="17" s="1"/>
  <c r="H8" i="2"/>
  <c r="H20" i="2" s="1"/>
  <c r="V13" i="16" s="1"/>
  <c r="G8" i="2"/>
  <c r="F8" i="2"/>
  <c r="E8" i="2"/>
  <c r="C8" i="2"/>
  <c r="Q3" i="16" s="1"/>
  <c r="C20" i="2"/>
  <c r="Q13" i="16" s="1"/>
  <c r="B8" i="2"/>
  <c r="T14" i="16"/>
  <c r="S4" i="17"/>
  <c r="C29" i="7"/>
  <c r="Q4" i="25" s="1"/>
  <c r="E29" i="7"/>
  <c r="S4" i="25" s="1"/>
  <c r="G29" i="7"/>
  <c r="U4" i="25" s="1"/>
  <c r="P2" i="25"/>
  <c r="D29" i="7"/>
  <c r="R4" i="25" s="1"/>
  <c r="B47" i="1"/>
  <c r="E79" i="1"/>
  <c r="P119" i="15" s="1"/>
  <c r="F79" i="1"/>
  <c r="Q119" i="15" s="1"/>
  <c r="F47" i="1"/>
  <c r="F59" i="1" s="1"/>
  <c r="E47" i="1"/>
  <c r="E59" i="1" s="1"/>
  <c r="P57" i="15"/>
  <c r="C47" i="1"/>
  <c r="D5" i="12"/>
  <c r="E5" i="12"/>
  <c r="A2" i="13"/>
  <c r="A2" i="9"/>
  <c r="A2" i="8"/>
  <c r="A2" i="3"/>
  <c r="A2" i="4"/>
  <c r="A2" i="6"/>
  <c r="A2" i="7"/>
  <c r="A2" i="2"/>
  <c r="A2" i="5"/>
  <c r="A2" i="1"/>
  <c r="A2" i="10"/>
  <c r="A2" i="12"/>
  <c r="V3" i="17"/>
  <c r="Y3" i="17"/>
  <c r="T2" i="25"/>
  <c r="S2" i="25"/>
  <c r="C8" i="4" l="1"/>
  <c r="G43" i="8"/>
  <c r="U35" i="26" s="1"/>
  <c r="F33" i="9"/>
  <c r="T24" i="27" s="1"/>
  <c r="G9" i="6"/>
  <c r="U2" i="24" s="1"/>
  <c r="G33" i="9"/>
  <c r="U24" i="27" s="1"/>
  <c r="D77" i="8"/>
  <c r="R68" i="26" s="1"/>
  <c r="E77" i="8"/>
  <c r="S68" i="26" s="1"/>
  <c r="C77" i="8"/>
  <c r="Q68" i="26" s="1"/>
  <c r="G77" i="8"/>
  <c r="U68" i="26" s="1"/>
  <c r="B77" i="8"/>
  <c r="P68" i="26" s="1"/>
  <c r="R34" i="20"/>
  <c r="P38" i="18"/>
  <c r="B74" i="4"/>
  <c r="P39" i="18" s="1"/>
  <c r="C159" i="6"/>
  <c r="Q150" i="24" s="1"/>
  <c r="Q2" i="24"/>
  <c r="P2" i="18"/>
  <c r="B21" i="4"/>
  <c r="S34" i="20"/>
  <c r="E70" i="5"/>
  <c r="E159" i="6"/>
  <c r="S150" i="24" s="1"/>
  <c r="P34" i="20"/>
  <c r="B70" i="5"/>
  <c r="B159" i="6"/>
  <c r="P150" i="24" s="1"/>
  <c r="R38" i="18"/>
  <c r="D74" i="4"/>
  <c r="R39" i="18" s="1"/>
  <c r="Q2" i="18"/>
  <c r="C21" i="4"/>
  <c r="T35" i="26"/>
  <c r="F77" i="8"/>
  <c r="T68" i="26" s="1"/>
  <c r="G42" i="5"/>
  <c r="U35" i="20" s="1"/>
  <c r="U34" i="20"/>
  <c r="G65" i="5"/>
  <c r="U56" i="20" s="1"/>
  <c r="U46" i="20"/>
  <c r="T34" i="20"/>
  <c r="F70" i="5"/>
  <c r="V3" i="16"/>
  <c r="R2" i="24"/>
  <c r="D159" i="6"/>
  <c r="R150" i="24" s="1"/>
  <c r="F159" i="6"/>
  <c r="T150" i="24" s="1"/>
  <c r="D11" i="4"/>
  <c r="R25" i="18"/>
  <c r="D33" i="9"/>
  <c r="R24" i="27" s="1"/>
  <c r="U3" i="16"/>
  <c r="G20" i="2"/>
  <c r="U13" i="16" s="1"/>
  <c r="F20" i="2"/>
  <c r="T13" i="16" s="1"/>
  <c r="T3" i="16"/>
  <c r="E20" i="2"/>
  <c r="S13" i="16" s="1"/>
  <c r="S3" i="16"/>
  <c r="P3" i="16"/>
  <c r="B20" i="2"/>
  <c r="P13" i="16" s="1"/>
  <c r="P42" i="15"/>
  <c r="B62" i="1"/>
  <c r="P54" i="15" s="1"/>
  <c r="Q95" i="15"/>
  <c r="F81" i="1"/>
  <c r="Q120" i="15" s="1"/>
  <c r="Q104" i="15"/>
  <c r="P95" i="15"/>
  <c r="E81" i="1"/>
  <c r="P120" i="15" s="1"/>
  <c r="P104" i="15"/>
  <c r="C62" i="1"/>
  <c r="Q54" i="15" s="1"/>
  <c r="Q42" i="15"/>
  <c r="G159" i="6" l="1"/>
  <c r="U150" i="24" s="1"/>
  <c r="G70" i="5"/>
  <c r="B23" i="4"/>
  <c r="P12" i="18"/>
  <c r="Q12" i="18"/>
  <c r="C23" i="4"/>
  <c r="D8" i="4"/>
  <c r="R5" i="18"/>
  <c r="R2" i="18" l="1"/>
  <c r="D21" i="4"/>
  <c r="B25" i="4"/>
  <c r="P13" i="18"/>
  <c r="C25" i="4"/>
  <c r="Q13" i="18"/>
  <c r="C33" i="4" l="1"/>
  <c r="Q18" i="18" s="1"/>
  <c r="Q14" i="18"/>
  <c r="B33" i="4"/>
  <c r="P18" i="18" s="1"/>
  <c r="P14" i="18"/>
  <c r="R12" i="18"/>
  <c r="D23" i="4"/>
  <c r="R13" i="18" l="1"/>
  <c r="D25" i="4"/>
  <c r="D33" i="4" l="1"/>
  <c r="R18" i="18" s="1"/>
  <c r="R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<sst xmlns="http://schemas.openxmlformats.org/spreadsheetml/2006/main" count="4243" uniqueCount="3305">
  <si>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</si>
  <si>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</si>
  <si>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</si>
  <si>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</si>
  <si>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</si>
  <si>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</si>
  <si>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</si>
  <si>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</si>
  <si>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</si>
  <si>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</si>
  <si>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</si>
  <si>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</si>
  <si>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</si>
  <si>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</si>
  <si>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</si>
  <si>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</si>
  <si>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</si>
  <si>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</si>
  <si>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</si>
  <si>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</si>
  <si>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</si>
  <si>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</si>
  <si>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</si>
  <si>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</si>
  <si>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</si>
  <si>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</si>
  <si>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</si>
  <si>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</si>
  <si>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</si>
  <si>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</si>
  <si>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</si>
  <si>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</si>
  <si>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</si>
  <si>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</si>
  <si>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</si>
  <si>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</si>
  <si>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</si>
  <si>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</si>
  <si>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</si>
  <si>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</si>
  <si>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</si>
  <si>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</si>
  <si>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</si>
  <si>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</si>
  <si>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</si>
  <si>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</si>
  <si>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</si>
  <si>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</si>
  <si>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</si>
  <si>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</si>
  <si>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</si>
  <si>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</si>
  <si>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</si>
  <si>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</si>
  <si>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</si>
  <si>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</si>
  <si>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</si>
  <si>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</si>
  <si>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</si>
  <si>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</si>
  <si>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</si>
  <si>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</si>
  <si>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</si>
  <si>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</si>
  <si>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</si>
  <si>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</si>
  <si>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</si>
  <si>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</si>
  <si>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</si>
  <si>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</si>
  <si>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</si>
  <si>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</si>
  <si>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</si>
  <si>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</si>
  <si>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</si>
  <si>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</si>
  <si>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</si>
  <si>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</si>
  <si>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</si>
  <si>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</si>
  <si>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</si>
  <si>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</si>
  <si>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</si>
  <si>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</si>
  <si>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</si>
  <si>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</si>
  <si>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</si>
  <si>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</si>
  <si>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</si>
  <si>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</si>
  <si>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</si>
  <si>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</si>
  <si>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</si>
  <si>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</si>
  <si>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</si>
  <si>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</si>
  <si>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</si>
  <si>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</si>
  <si>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</si>
  <si>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</si>
  <si>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</si>
  <si>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</si>
  <si>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</si>
  <si>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</si>
  <si>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</si>
  <si>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</si>
  <si>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</si>
  <si>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</si>
  <si>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</si>
  <si>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</si>
  <si>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</si>
  <si>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</si>
  <si>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</si>
  <si>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</si>
  <si>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</si>
  <si>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</si>
  <si>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</si>
  <si>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</si>
  <si>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</si>
  <si>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</si>
  <si>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</si>
  <si>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</si>
  <si>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</si>
  <si>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</si>
  <si>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</si>
  <si>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</si>
  <si>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</si>
  <si>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</si>
  <si>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</si>
  <si>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</si>
  <si>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</si>
  <si>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</si>
  <si>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</si>
  <si>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</si>
  <si>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</si>
  <si>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</si>
  <si>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</si>
  <si>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</si>
  <si>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</si>
  <si>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</si>
  <si>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</si>
  <si>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</si>
  <si>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</si>
  <si>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</si>
  <si>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</si>
  <si>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</si>
  <si>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</si>
  <si>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</si>
  <si>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</si>
  <si>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</si>
  <si>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</si>
  <si>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</si>
  <si>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</si>
  <si>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</si>
  <si>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</si>
  <si>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</si>
  <si>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</si>
  <si>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</si>
  <si>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</si>
  <si>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</si>
  <si>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</si>
  <si>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</si>
  <si>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</si>
  <si>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</si>
  <si>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</si>
  <si>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</si>
  <si>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</si>
  <si>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</si>
  <si>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</si>
  <si>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</si>
  <si>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</si>
  <si>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</si>
  <si>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</si>
  <si>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</si>
  <si>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</si>
  <si>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</si>
  <si>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</si>
  <si>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</si>
  <si>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</si>
  <si>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</si>
  <si>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</si>
  <si>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</si>
  <si>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</si>
  <si>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</si>
  <si>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</si>
  <si>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</si>
  <si>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</si>
  <si>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</si>
  <si>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</si>
  <si>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</si>
  <si>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</si>
  <si>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</si>
  <si>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</si>
  <si>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</si>
  <si>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</si>
  <si>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</si>
  <si>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</si>
  <si>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</si>
  <si>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</si>
  <si>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</si>
  <si>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</si>
  <si>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</si>
  <si>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</si>
  <si>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</si>
  <si>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</si>
  <si>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</si>
  <si>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</si>
  <si>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</si>
  <si>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</si>
  <si>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</si>
  <si>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</si>
  <si>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</si>
  <si>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</si>
  <si>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</si>
  <si>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</si>
  <si>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</si>
  <si>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</si>
  <si>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</si>
  <si>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</si>
  <si>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</si>
  <si>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</si>
  <si>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</si>
  <si>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</si>
  <si>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</si>
  <si>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</si>
  <si>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</si>
  <si>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</si>
  <si>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</si>
  <si>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</si>
  <si>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</si>
  <si>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</si>
  <si>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</si>
  <si>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</si>
  <si>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</si>
  <si>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</si>
  <si>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</si>
  <si>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</si>
  <si>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</si>
  <si>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</si>
  <si>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</si>
  <si>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</si>
  <si>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</si>
  <si>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</si>
  <si>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</si>
  <si>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</si>
  <si>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</si>
  <si>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</si>
  <si>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</si>
  <si>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</si>
  <si>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</si>
  <si>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</si>
  <si>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</si>
  <si>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</si>
  <si>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</si>
  <si>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</si>
  <si>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</si>
  <si>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</si>
  <si>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</si>
  <si>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</si>
  <si>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</si>
  <si>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</si>
  <si>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</si>
  <si>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</si>
  <si>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</si>
  <si>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</si>
  <si>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</si>
  <si>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</si>
  <si>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</si>
  <si>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</si>
  <si>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</si>
  <si>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</si>
  <si>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</si>
  <si>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</si>
  <si>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</si>
  <si>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</si>
  <si>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</si>
  <si>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</si>
  <si>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</si>
  <si>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</si>
  <si>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</si>
  <si>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</si>
  <si>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</si>
  <si>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</si>
  <si>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</si>
  <si>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</si>
  <si>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</si>
  <si>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</si>
  <si>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</si>
  <si>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</si>
  <si>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</si>
  <si>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</si>
  <si>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</si>
  <si>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</si>
  <si>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</si>
  <si>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</si>
  <si>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</si>
  <si>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</si>
  <si>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</si>
  <si>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</si>
  <si>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</si>
  <si>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</si>
  <si>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</si>
  <si>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</si>
  <si>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</si>
  <si>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</si>
  <si>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</si>
  <si>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</si>
  <si>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</si>
  <si>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</si>
  <si>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</si>
  <si>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</si>
  <si>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</si>
  <si>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</si>
  <si>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</si>
  <si>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</si>
  <si>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</si>
  <si>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</si>
  <si>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</si>
  <si>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</si>
  <si>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</si>
  <si>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</si>
  <si>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</si>
  <si>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</si>
  <si>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</si>
  <si>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</si>
  <si>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</si>
  <si>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</si>
  <si>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</si>
  <si>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</si>
  <si>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</si>
  <si>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</si>
  <si>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</si>
  <si>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</si>
  <si>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</si>
  <si>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</si>
  <si>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</si>
  <si>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</si>
  <si>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</si>
  <si>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</si>
  <si>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</si>
  <si>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</si>
  <si>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</si>
  <si>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</si>
  <si>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</si>
  <si>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</si>
  <si>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</si>
  <si>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</si>
  <si>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</si>
  <si>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</si>
  <si>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</si>
  <si>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</si>
  <si>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</si>
  <si>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</si>
  <si>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</si>
  <si>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</si>
  <si>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</si>
  <si>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</si>
  <si>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</si>
  <si>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</si>
  <si>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</si>
  <si>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</si>
  <si>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</si>
  <si>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</si>
  <si>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</si>
  <si>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</si>
  <si>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</si>
  <si>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</si>
  <si>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</si>
  <si>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</si>
  <si>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</si>
  <si>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</si>
  <si>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</si>
  <si>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</si>
  <si>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</si>
  <si>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</si>
  <si>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</si>
  <si>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</si>
  <si>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</si>
  <si>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</si>
  <si>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</si>
  <si>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</si>
  <si>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</si>
  <si>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</si>
  <si>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</si>
  <si>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</si>
  <si>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</si>
  <si>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</si>
  <si>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</si>
  <si>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</si>
  <si>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</si>
  <si>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</si>
  <si>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</si>
  <si>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</si>
  <si>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</si>
  <si>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</si>
  <si>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</si>
  <si>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</si>
  <si>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</si>
  <si>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</si>
  <si>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</si>
  <si>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</si>
  <si>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</si>
  <si>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</si>
  <si>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</si>
  <si>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</si>
  <si>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</si>
  <si>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</si>
  <si>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</si>
  <si>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</si>
  <si>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</si>
  <si>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</si>
  <si>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</si>
  <si>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</si>
  <si>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</si>
  <si>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</si>
  <si>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</si>
  <si>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</si>
  <si>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</si>
  <si>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</si>
  <si>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</si>
  <si>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</si>
  <si>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</si>
  <si>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</si>
  <si>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</si>
  <si>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</si>
  <si>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</si>
  <si>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</si>
  <si>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</si>
  <si>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</si>
  <si>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</si>
  <si>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</si>
  <si>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</si>
  <si>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</si>
  <si>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</si>
  <si>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</si>
  <si>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</si>
  <si>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</si>
  <si>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</si>
  <si>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</si>
  <si>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</si>
  <si>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</si>
  <si>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</si>
  <si>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</si>
  <si>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</si>
  <si>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</si>
  <si>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</si>
  <si>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</si>
  <si>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</si>
  <si>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</si>
  <si>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</si>
  <si>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</si>
  <si>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</si>
  <si>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</si>
  <si>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</si>
  <si>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</si>
  <si>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</si>
  <si>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</si>
  <si>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</si>
  <si>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</si>
  <si>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</si>
  <si>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</si>
  <si>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</si>
  <si>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</si>
  <si>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</si>
  <si>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</si>
  <si>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</si>
  <si>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</si>
  <si>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</si>
  <si>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</si>
  <si>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</si>
  <si>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</si>
  <si>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</si>
  <si>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</si>
  <si>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</si>
  <si>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</si>
  <si>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</si>
  <si>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</si>
  <si>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</si>
  <si>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</si>
  <si>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</si>
  <si>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</si>
  <si>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</si>
  <si>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</si>
  <si>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</si>
  <si>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</si>
  <si>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</si>
  <si>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</si>
  <si>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</si>
  <si>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</si>
  <si>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</si>
  <si>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</si>
  <si>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</si>
  <si>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</si>
  <si>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</si>
  <si>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</si>
  <si>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</si>
  <si>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</si>
  <si>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</si>
  <si>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</si>
  <si>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</si>
  <si>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</si>
  <si>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</si>
  <si>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</si>
  <si>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</si>
  <si>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</si>
  <si>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</si>
  <si>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</si>
  <si>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</si>
  <si>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</si>
  <si>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</si>
  <si>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</si>
  <si>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</si>
  <si>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</si>
  <si>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</si>
  <si>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</si>
  <si>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</si>
  <si>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</si>
  <si>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</si>
  <si>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</si>
  <si>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</si>
  <si>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</si>
  <si>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</si>
  <si>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</si>
  <si>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</si>
  <si>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</si>
  <si>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</si>
  <si>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</si>
  <si>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</si>
  <si>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</si>
  <si>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</si>
  <si>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</si>
  <si>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</si>
  <si>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</si>
  <si>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</si>
  <si>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</si>
  <si>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</si>
  <si>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</si>
  <si>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</si>
  <si>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</si>
  <si>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</si>
  <si>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</si>
  <si>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</si>
  <si>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</si>
  <si>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</si>
  <si>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</si>
  <si>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</si>
  <si>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</si>
  <si>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</si>
  <si>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</si>
  <si>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</si>
  <si>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</si>
  <si>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</si>
  <si>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</si>
  <si>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</si>
  <si>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</si>
  <si>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</si>
  <si>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</si>
  <si>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</si>
  <si>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</si>
  <si>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</si>
  <si>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</si>
  <si>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</si>
  <si>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</si>
  <si>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</si>
  <si>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</si>
  <si>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</si>
  <si>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</si>
  <si>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</si>
  <si>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</si>
  <si>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</si>
  <si>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</si>
  <si>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</si>
  <si>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</si>
  <si>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</si>
  <si>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</si>
  <si>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</si>
  <si>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</si>
  <si>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</si>
  <si>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</si>
  <si>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</si>
  <si>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</si>
  <si>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</si>
  <si>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</si>
  <si>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</si>
  <si>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</si>
  <si>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</si>
  <si>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</si>
  <si>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</si>
  <si>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</si>
  <si>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</si>
  <si>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</si>
  <si>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</si>
  <si>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</si>
  <si>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</si>
  <si>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</si>
  <si>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</si>
  <si>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</si>
  <si>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</si>
  <si>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</si>
  <si>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</si>
  <si>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</si>
  <si>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</si>
  <si>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</si>
  <si>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</si>
  <si>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</si>
  <si>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</si>
  <si>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</si>
  <si>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</si>
  <si>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</si>
  <si>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</si>
  <si>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</si>
  <si>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</si>
  <si>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</si>
  <si>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</si>
  <si>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</si>
  <si>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</si>
  <si>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</si>
  <si>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</si>
  <si>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</si>
  <si>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</si>
  <si>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</si>
  <si>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</si>
  <si>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</si>
  <si>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</si>
  <si>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</si>
  <si>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</si>
  <si>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</si>
  <si>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</si>
  <si>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</si>
  <si>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</si>
  <si>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</si>
  <si>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</si>
  <si>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</si>
  <si>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</si>
  <si>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</si>
  <si>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</si>
  <si>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</si>
  <si>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</si>
  <si>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</si>
  <si>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</si>
  <si>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</si>
  <si>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</si>
  <si>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</si>
  <si>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</si>
  <si>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</si>
  <si>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</si>
  <si>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</si>
  <si>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</si>
  <si>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</si>
  <si>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</si>
  <si>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</si>
  <si>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</si>
  <si>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</si>
  <si>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</si>
  <si>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</si>
  <si>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</si>
  <si>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</si>
  <si>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</si>
  <si>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</si>
  <si>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</si>
  <si>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</si>
  <si>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</si>
  <si>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</si>
  <si>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</si>
  <si>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</si>
  <si>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</si>
  <si>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</si>
  <si>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</si>
  <si>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</si>
  <si>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</si>
  <si>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</si>
  <si>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</si>
  <si>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</si>
  <si>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</si>
  <si>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</si>
  <si>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</si>
  <si>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</si>
  <si>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</si>
  <si>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</si>
  <si>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</si>
  <si>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</si>
  <si>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</si>
  <si>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</si>
  <si>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</si>
  <si>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</si>
  <si>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</si>
  <si>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</si>
  <si>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</si>
  <si>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</si>
  <si>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</si>
  <si>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</si>
  <si>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</si>
  <si>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</si>
  <si>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</si>
  <si>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</si>
  <si>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</si>
  <si>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</si>
  <si>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</si>
  <si>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</si>
  <si>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</si>
  <si>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</si>
  <si>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</si>
  <si>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</si>
  <si>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</si>
  <si>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</si>
  <si>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</si>
  <si>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</si>
  <si>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</si>
  <si>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</si>
  <si>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</si>
  <si>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</si>
  <si>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</si>
  <si>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</si>
  <si>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</si>
  <si>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</si>
  <si>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</si>
  <si>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</si>
  <si>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</si>
  <si>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</si>
  <si>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</si>
  <si>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</si>
  <si>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</si>
  <si>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</si>
  <si>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</si>
  <si>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</si>
  <si>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</si>
  <si>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</si>
  <si>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</si>
  <si>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</si>
  <si>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</si>
  <si>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</si>
  <si>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</si>
  <si>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</si>
  <si>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</si>
  <si>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</si>
  <si>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</si>
  <si>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</si>
  <si>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</si>
  <si>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</si>
  <si>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</si>
  <si>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</si>
  <si>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</si>
  <si>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</si>
  <si>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</si>
  <si>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</si>
  <si>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</si>
  <si>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</si>
  <si>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</si>
  <si>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</si>
  <si>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</si>
  <si>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</si>
  <si>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</si>
  <si>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</si>
  <si>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</si>
  <si>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</si>
  <si>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</si>
  <si>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</si>
  <si>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</si>
  <si>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</si>
  <si>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</si>
  <si>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</si>
  <si>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</si>
  <si>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</si>
  <si>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</si>
  <si>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</si>
  <si>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</si>
  <si>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</si>
  <si>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</si>
  <si>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</si>
  <si>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</si>
  <si>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</si>
  <si>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</si>
  <si>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</si>
  <si>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</si>
  <si>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</si>
  <si>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</si>
  <si>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</si>
  <si>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</si>
  <si>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</si>
  <si>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</si>
  <si>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</si>
  <si>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</si>
  <si>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</si>
  <si>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</si>
  <si>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</si>
  <si>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</si>
  <si>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</si>
  <si>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</si>
  <si>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</si>
  <si>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</si>
  <si>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</si>
  <si>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</si>
  <si>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</si>
  <si>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</si>
  <si>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</si>
  <si>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</si>
  <si>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</si>
  <si>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</si>
  <si>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</si>
  <si>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</si>
  <si>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</si>
  <si>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</si>
  <si>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</si>
  <si>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</si>
  <si>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</si>
  <si>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</si>
  <si>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</si>
  <si>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</si>
  <si>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</si>
  <si>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</si>
  <si>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</si>
  <si>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</si>
  <si>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</si>
  <si>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</si>
  <si>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</si>
  <si>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</si>
  <si>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</si>
  <si>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</si>
  <si>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</si>
  <si>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</si>
  <si>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</si>
  <si>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</si>
  <si>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</si>
  <si>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</si>
  <si>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</si>
  <si>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</si>
  <si>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</si>
  <si>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</si>
  <si>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</si>
  <si>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</si>
  <si>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</si>
  <si>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</si>
  <si>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</si>
  <si>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</si>
  <si>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</si>
  <si>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</si>
  <si>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</si>
  <si>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</si>
  <si>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</si>
  <si>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</si>
  <si>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</si>
  <si>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</si>
  <si>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</si>
  <si>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</si>
  <si>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</si>
  <si>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</si>
  <si>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</si>
  <si>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</si>
  <si>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</si>
  <si>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</si>
  <si>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</si>
  <si>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</si>
  <si>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</si>
  <si>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</si>
  <si>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</si>
  <si>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</si>
  <si>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</si>
  <si>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</si>
  <si>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</si>
  <si>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</si>
  <si>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</si>
  <si>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</si>
  <si>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</si>
  <si>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</si>
  <si>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</si>
  <si>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</si>
  <si>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</si>
  <si>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</si>
  <si>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</si>
  <si>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</si>
  <si>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</si>
  <si>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</si>
  <si>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</si>
  <si>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</si>
  <si>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</si>
  <si>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</si>
  <si>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</si>
  <si>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</si>
  <si>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</si>
  <si>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</si>
  <si>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</si>
  <si>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</si>
  <si>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</si>
  <si>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</si>
  <si>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</si>
  <si>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</si>
  <si>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</si>
  <si>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</si>
  <si>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</si>
  <si>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</si>
  <si>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</si>
  <si>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</si>
  <si>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</si>
  <si>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</si>
  <si>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</si>
  <si>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</si>
  <si>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</si>
  <si>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</si>
  <si>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</si>
  <si>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</si>
  <si>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</si>
  <si>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</si>
  <si>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</si>
  <si>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</si>
  <si>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</si>
  <si>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</si>
  <si>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</si>
  <si>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</si>
  <si>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</si>
  <si>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</si>
  <si>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</si>
  <si>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</si>
  <si>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</si>
  <si>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</si>
  <si>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</si>
  <si>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</si>
  <si>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</si>
  <si>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</si>
  <si>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</si>
  <si>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</si>
  <si>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</si>
  <si>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</si>
  <si>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</si>
  <si>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</si>
  <si>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</si>
  <si>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</si>
  <si>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</si>
  <si>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</si>
  <si>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</si>
  <si>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</si>
  <si>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</si>
  <si>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</si>
  <si>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</si>
  <si>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</si>
  <si>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</si>
  <si>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</si>
  <si>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</si>
  <si>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</si>
  <si>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</si>
  <si>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</si>
  <si>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</si>
  <si>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</si>
  <si>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</si>
  <si>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</si>
  <si>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</si>
  <si>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</si>
  <si>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</si>
  <si>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</si>
  <si>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</si>
  <si>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</si>
  <si>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</si>
  <si>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</si>
  <si>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</si>
  <si>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</si>
  <si>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</si>
  <si>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</si>
  <si>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</si>
  <si>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</si>
  <si>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</si>
  <si>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</si>
  <si>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</si>
  <si>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</si>
  <si>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</si>
  <si>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</si>
  <si>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</si>
  <si>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</si>
  <si>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</si>
  <si>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</si>
  <si>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</si>
  <si>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</si>
  <si>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</si>
  <si>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</si>
  <si>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</si>
  <si>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</si>
  <si>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</si>
  <si>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</si>
  <si>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</si>
  <si>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</si>
  <si>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</si>
  <si>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</si>
  <si>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</si>
  <si>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</si>
  <si>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</si>
  <si>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</si>
  <si>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</si>
  <si>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</si>
  <si>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</si>
  <si>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</si>
  <si>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</si>
  <si>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</si>
  <si>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</si>
  <si>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</si>
  <si>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</si>
  <si>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</si>
  <si>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</si>
  <si>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</si>
  <si>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</si>
  <si>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</si>
  <si>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</si>
  <si>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</si>
  <si>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</si>
  <si>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</si>
  <si>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</si>
  <si>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</si>
  <si>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</si>
  <si>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</si>
  <si>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</si>
  <si>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</si>
  <si>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</si>
  <si>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</si>
  <si>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</si>
  <si>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</si>
  <si>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</si>
  <si>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</si>
  <si>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</si>
  <si>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</si>
  <si>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</si>
  <si>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</si>
  <si>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</si>
  <si>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</si>
  <si>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</si>
  <si>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</si>
  <si>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</si>
  <si>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</si>
  <si>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</si>
  <si>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</si>
  <si>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</si>
  <si>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</si>
  <si>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</si>
  <si>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</si>
  <si>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</si>
  <si>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</si>
  <si>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</si>
  <si>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</si>
  <si>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</si>
  <si>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</si>
  <si>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</si>
  <si>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</si>
  <si>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</si>
  <si>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</si>
  <si>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</si>
  <si>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</si>
  <si>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</si>
  <si>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</si>
  <si>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</si>
  <si>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</si>
  <si>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</si>
  <si>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</si>
  <si>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</si>
  <si>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</si>
  <si>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</si>
  <si>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</si>
  <si>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</si>
  <si>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</si>
  <si>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</si>
  <si>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</si>
  <si>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</si>
  <si>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</si>
  <si>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</si>
  <si>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</si>
  <si>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</si>
  <si>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</si>
  <si>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</si>
  <si>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</si>
  <si>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</si>
  <si>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</si>
  <si>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</si>
  <si>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</si>
  <si>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</si>
  <si>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</si>
  <si>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</si>
  <si>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</si>
  <si>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</si>
  <si>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</si>
  <si>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</si>
  <si>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</si>
  <si>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</si>
  <si>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</si>
  <si>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</si>
  <si>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</si>
  <si>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</si>
  <si>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</si>
  <si>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</si>
  <si>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</si>
  <si>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</si>
  <si>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</si>
  <si>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</si>
  <si>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</si>
  <si>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</si>
  <si>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</si>
  <si>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</si>
  <si>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</si>
  <si>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</si>
  <si>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</si>
  <si>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</si>
  <si>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</si>
  <si>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</si>
  <si>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</si>
  <si>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</si>
  <si>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</si>
  <si>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</si>
  <si>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</si>
  <si>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</si>
  <si>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</si>
  <si>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</si>
  <si>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</si>
  <si>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</si>
  <si>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</si>
  <si>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</si>
  <si>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</si>
  <si>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</si>
  <si>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</si>
  <si>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</si>
  <si>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</si>
  <si>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</si>
  <si>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</si>
  <si>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</si>
  <si>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</si>
  <si>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</si>
  <si>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</si>
  <si>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</si>
  <si>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</si>
  <si>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</si>
  <si>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</si>
  <si>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</si>
  <si>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</si>
  <si>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</si>
  <si>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</si>
  <si>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</si>
  <si>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</si>
  <si>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</si>
  <si>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</si>
  <si>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</si>
  <si>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</si>
  <si>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</si>
  <si>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</si>
  <si>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</si>
  <si>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</si>
  <si>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</si>
  <si>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</si>
  <si>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</si>
  <si>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</si>
  <si>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</si>
  <si>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</si>
  <si>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</si>
  <si>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</si>
  <si>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</si>
  <si>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</si>
  <si>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</si>
  <si>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</si>
  <si>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</si>
  <si>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</si>
  <si>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</si>
  <si>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</si>
  <si>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</si>
  <si>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</si>
  <si>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</si>
  <si>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</si>
  <si>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</si>
  <si>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</si>
  <si>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</si>
  <si>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</si>
  <si>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</si>
  <si>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</si>
  <si>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</si>
  <si>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</si>
  <si>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</si>
  <si>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</si>
  <si>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</si>
  <si>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</si>
  <si>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</si>
  <si>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</si>
  <si>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</si>
  <si>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</si>
  <si>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</si>
  <si>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</si>
  <si>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</si>
  <si>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</si>
  <si>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</si>
  <si>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</si>
  <si>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</si>
  <si>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</si>
  <si>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</si>
  <si>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</si>
  <si>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</si>
  <si>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</si>
  <si>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</si>
  <si>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</si>
  <si>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</si>
  <si>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</si>
  <si>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</si>
  <si>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</si>
  <si>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</si>
  <si>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</si>
  <si>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</si>
  <si>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</si>
  <si>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</si>
  <si>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</si>
  <si>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</si>
  <si>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</si>
  <si>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</si>
  <si>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</si>
  <si>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</si>
  <si>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</si>
  <si>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</si>
  <si>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</si>
  <si>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</si>
  <si>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</si>
  <si>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</si>
  <si>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</si>
  <si>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</si>
  <si>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</si>
  <si>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</si>
  <si>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</si>
  <si>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</si>
  <si>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</si>
  <si>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</si>
  <si>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</si>
  <si>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</si>
  <si>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</si>
  <si>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</si>
  <si>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</si>
  <si>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</si>
  <si>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</si>
  <si>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</si>
  <si>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</si>
  <si>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</si>
  <si>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</si>
  <si>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</si>
  <si>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</si>
  <si>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</si>
  <si>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</si>
  <si>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</si>
  <si>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</si>
  <si>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</si>
  <si>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</si>
  <si>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</si>
  <si>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</si>
  <si>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</si>
  <si>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</si>
  <si>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</si>
  <si>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</si>
  <si>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</si>
  <si>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</si>
  <si>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</si>
  <si>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</si>
  <si>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</si>
  <si>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</si>
  <si>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</si>
  <si>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</si>
  <si>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</si>
  <si>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</si>
  <si>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</si>
  <si>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</si>
  <si>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</si>
  <si>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</si>
  <si>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</si>
  <si>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</si>
  <si>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</si>
  <si>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</si>
  <si>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</si>
  <si>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</si>
  <si>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</si>
  <si>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</si>
  <si>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</si>
  <si>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</si>
  <si>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</si>
  <si>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</si>
  <si>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</si>
  <si>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</si>
  <si>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</si>
  <si>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</si>
  <si>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</si>
  <si>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</si>
  <si>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</si>
  <si>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</si>
  <si>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</si>
  <si>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</si>
  <si>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</si>
  <si>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</si>
  <si>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</si>
  <si>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</si>
  <si>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</si>
  <si>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</si>
  <si>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</si>
  <si>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</si>
  <si>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</si>
  <si>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</si>
  <si>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</si>
  <si>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</si>
  <si>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</si>
  <si>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</si>
  <si>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</si>
  <si>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</si>
  <si>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</si>
  <si>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</si>
  <si>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</si>
  <si>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</si>
  <si>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</si>
  <si>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</si>
  <si>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</si>
  <si>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</si>
  <si>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</si>
  <si>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</si>
  <si>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</si>
  <si>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</si>
  <si>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</si>
  <si>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</si>
  <si>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</si>
  <si>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</si>
  <si>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</si>
  <si>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</si>
  <si>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</si>
  <si>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</si>
  <si>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</si>
  <si>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</si>
  <si>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</si>
  <si>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</si>
  <si>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</si>
  <si>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</si>
  <si>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</si>
  <si>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</si>
  <si>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</si>
  <si>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</si>
  <si>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</si>
  <si>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</si>
  <si>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</si>
  <si>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</si>
  <si>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</si>
  <si>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</si>
  <si>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</si>
  <si>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</si>
  <si>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</si>
  <si>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</si>
  <si>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</si>
  <si>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</si>
  <si>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</si>
  <si>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</si>
  <si>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</si>
  <si>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</si>
  <si>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</si>
  <si>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</si>
  <si>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</si>
  <si>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</si>
  <si>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</si>
  <si>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</si>
  <si>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</si>
  <si>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</si>
  <si>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</si>
  <si>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</si>
  <si>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</si>
  <si>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</si>
  <si>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</si>
  <si>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</si>
  <si>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</si>
  <si>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</si>
  <si>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</si>
  <si>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</si>
  <si>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</si>
  <si>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</si>
  <si>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</si>
  <si>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</si>
  <si>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</si>
  <si>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</si>
  <si>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</si>
  <si>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</si>
  <si>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</si>
  <si>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</si>
  <si>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</si>
  <si>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</si>
  <si>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</si>
  <si>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</si>
  <si>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</si>
  <si>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</si>
  <si>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</si>
  <si>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</si>
  <si>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</si>
  <si>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</si>
  <si>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</si>
  <si>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</si>
  <si>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</si>
  <si>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</si>
  <si>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</si>
  <si>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</si>
  <si>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</si>
  <si>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</si>
  <si>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</si>
  <si>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</si>
  <si>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</si>
  <si>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</si>
  <si>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</si>
  <si>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</si>
  <si>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</si>
  <si>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</si>
  <si>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</si>
  <si>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</si>
  <si>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</si>
  <si>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</si>
  <si>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</si>
  <si>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</si>
  <si>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</si>
  <si>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</si>
  <si>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</si>
  <si>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</si>
  <si>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</si>
  <si>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</si>
  <si>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</si>
  <si>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</si>
  <si>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</si>
  <si>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</si>
  <si>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</si>
  <si>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</si>
  <si>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</si>
  <si>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</si>
  <si>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</si>
  <si>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</si>
  <si>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</si>
  <si>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</si>
  <si>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</si>
  <si>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</si>
  <si>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</si>
  <si>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</si>
  <si>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</si>
  <si>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</si>
  <si>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</si>
  <si>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</si>
  <si>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</si>
  <si>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</si>
  <si>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</si>
  <si>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</si>
  <si>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</si>
  <si>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</si>
  <si>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</si>
  <si>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</si>
  <si>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</si>
  <si>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</si>
  <si>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</si>
  <si>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</si>
  <si>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</si>
  <si>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</si>
  <si>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</si>
  <si>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</si>
  <si>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</si>
  <si>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</si>
  <si>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</si>
  <si>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</si>
  <si>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</si>
  <si>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</si>
  <si>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</si>
  <si>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</si>
  <si>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</si>
  <si>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</si>
  <si>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</si>
  <si>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</si>
  <si>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</si>
  <si>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</si>
  <si>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</si>
  <si>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</si>
  <si>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</si>
  <si>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</si>
  <si>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</si>
  <si>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</si>
  <si>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</si>
  <si>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</si>
  <si>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</si>
  <si>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</si>
  <si>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</si>
  <si>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</si>
  <si>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</si>
  <si>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</si>
  <si>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</si>
  <si>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</si>
  <si>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</si>
  <si>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</si>
  <si>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</si>
  <si>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</si>
  <si>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</si>
  <si>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</si>
  <si>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</si>
  <si>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</si>
  <si>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</si>
  <si>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</si>
  <si>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</si>
  <si>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</si>
  <si>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</si>
  <si>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</si>
  <si>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</si>
  <si>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</si>
  <si>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</si>
  <si>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</si>
  <si>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</si>
  <si>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</si>
  <si>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</si>
  <si>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</si>
  <si>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</si>
  <si>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</si>
  <si>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</si>
  <si>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</si>
  <si>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</si>
  <si>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</si>
  <si>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</si>
  <si>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</si>
  <si>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</si>
  <si>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</si>
  <si>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</si>
  <si>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</si>
  <si>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</si>
  <si>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</si>
  <si>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</si>
  <si>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</si>
  <si>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</si>
  <si>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</si>
  <si>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</si>
  <si>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</si>
  <si>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</si>
  <si>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</si>
  <si>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</si>
  <si>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</si>
  <si>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</si>
  <si>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</si>
  <si>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</si>
  <si>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</si>
  <si>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</si>
  <si>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</si>
  <si>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</si>
  <si>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</si>
  <si>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</si>
  <si>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</si>
  <si>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</si>
  <si>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</si>
  <si>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</si>
  <si>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</si>
  <si>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</si>
  <si>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</si>
  <si>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</si>
  <si>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</si>
  <si>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</si>
  <si>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</si>
  <si>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</si>
  <si>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</si>
  <si>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</si>
  <si>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</si>
  <si>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</si>
  <si>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</si>
  <si>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</si>
  <si>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</si>
  <si>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</si>
  <si>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</si>
  <si>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</si>
  <si>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</si>
  <si>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</si>
  <si>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</si>
  <si>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</si>
  <si>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</si>
  <si>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</si>
  <si>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</si>
  <si>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</si>
  <si>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</si>
  <si>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</si>
  <si>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</si>
  <si>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</si>
  <si>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</si>
  <si>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</si>
  <si>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</si>
  <si>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</si>
  <si>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</si>
  <si>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</si>
  <si>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</si>
  <si>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</si>
  <si>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</si>
  <si>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</si>
  <si>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</si>
  <si>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</si>
  <si>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</si>
  <si>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</si>
  <si>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</si>
  <si>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</si>
  <si>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</si>
  <si>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</si>
  <si>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</si>
  <si>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</si>
  <si>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</si>
  <si>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</si>
  <si>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</si>
  <si>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</si>
  <si>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</si>
  <si>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</si>
  <si>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</si>
  <si>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</si>
  <si>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</si>
  <si>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</si>
  <si>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</si>
  <si>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</si>
  <si>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</si>
  <si>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</si>
  <si>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</si>
  <si>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</si>
  <si>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</si>
  <si>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</si>
  <si>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</si>
  <si>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</si>
  <si>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</si>
  <si>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</si>
  <si>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</si>
  <si>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</si>
  <si>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</si>
  <si>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</si>
  <si>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</si>
  <si>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</si>
  <si>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</si>
  <si>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</si>
  <si>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</si>
  <si>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</si>
  <si>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</si>
  <si>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</si>
  <si>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</si>
  <si>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</si>
  <si>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</si>
  <si>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</si>
  <si>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</si>
  <si>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</si>
  <si>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</si>
  <si>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</si>
  <si>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</si>
  <si>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</si>
  <si>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</si>
  <si>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</si>
  <si>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</si>
  <si>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</si>
  <si>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</si>
  <si>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</si>
  <si>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</si>
  <si>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</si>
  <si>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</si>
  <si>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</si>
  <si>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</si>
  <si>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</si>
  <si>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</si>
  <si>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</si>
  <si>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</si>
  <si>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</si>
  <si>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</si>
  <si>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</si>
  <si>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</si>
  <si>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</si>
  <si>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</si>
  <si>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</si>
  <si>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</si>
  <si>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</si>
  <si>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</si>
  <si>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</si>
  <si>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</si>
  <si>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</si>
  <si>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</si>
  <si>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</si>
  <si>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</si>
  <si>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</si>
  <si>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</si>
  <si>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</si>
  <si>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</si>
  <si>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</si>
  <si>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</si>
  <si>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</si>
  <si>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</si>
  <si>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</si>
  <si>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</si>
  <si>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</si>
  <si>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</si>
  <si>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</si>
  <si>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</si>
  <si>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</si>
  <si>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</si>
  <si>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</si>
  <si>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</si>
  <si>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</si>
  <si>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</si>
  <si>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</si>
  <si>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</si>
  <si>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</si>
  <si>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</si>
  <si>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</si>
  <si>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</si>
  <si>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</si>
  <si>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</si>
  <si>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</si>
  <si>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</si>
  <si>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</si>
  <si>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</si>
  <si>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</si>
  <si>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</si>
  <si>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</si>
  <si>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</si>
  <si>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</si>
  <si>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</si>
  <si>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</si>
  <si>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</si>
  <si>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</si>
  <si>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</si>
  <si>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</si>
  <si>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</si>
  <si>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</si>
  <si>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</si>
  <si>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</si>
  <si>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</si>
  <si>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</si>
  <si>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</si>
  <si>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</si>
  <si>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</si>
  <si>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</si>
  <si>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</si>
  <si>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</si>
  <si>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</si>
  <si>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</si>
  <si>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</si>
  <si>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</si>
  <si>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</si>
  <si>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</si>
  <si>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</si>
  <si>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</si>
  <si>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</si>
  <si>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</si>
  <si>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</si>
  <si>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</si>
  <si>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</si>
  <si>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</si>
  <si>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</si>
  <si>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</si>
  <si>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</si>
  <si>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</si>
  <si>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</si>
  <si>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</si>
  <si>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</si>
  <si>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</si>
  <si>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</si>
  <si>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</si>
  <si>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</si>
  <si>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</si>
  <si>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</si>
  <si>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</si>
  <si>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</si>
  <si>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</si>
  <si>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</si>
  <si>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</si>
  <si>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</si>
  <si>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</si>
  <si>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</si>
  <si>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</si>
  <si>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</si>
  <si>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</si>
  <si>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</si>
  <si>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</si>
  <si>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</si>
  <si>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</si>
  <si>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</si>
  <si>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</si>
  <si>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</si>
  <si>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</si>
  <si>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</si>
  <si>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</si>
  <si>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</si>
  <si>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</si>
  <si>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</si>
  <si>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</si>
  <si>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</si>
  <si>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</si>
  <si>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</si>
  <si>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</si>
  <si>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</si>
  <si>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</si>
  <si>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</si>
  <si>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</si>
  <si>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</si>
  <si>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</si>
  <si>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</si>
  <si>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</si>
  <si>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</si>
  <si>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</si>
  <si>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</si>
  <si>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</si>
  <si>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</si>
  <si>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</si>
  <si>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</si>
  <si>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</si>
  <si>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</si>
  <si>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</si>
  <si>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</si>
  <si>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</si>
  <si>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</si>
  <si>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</si>
  <si>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</si>
  <si>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</si>
  <si>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</si>
  <si>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</si>
  <si>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</si>
  <si>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</si>
  <si>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</si>
  <si>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</si>
  <si>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</si>
  <si>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</si>
  <si>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</si>
  <si>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</si>
  <si>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</si>
  <si>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</si>
  <si>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</si>
  <si>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</si>
  <si>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</si>
  <si>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</si>
  <si>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</si>
  <si>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</si>
  <si>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</si>
  <si>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</si>
  <si>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</si>
  <si>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</si>
  <si>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</si>
  <si>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</si>
  <si>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</si>
  <si>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</si>
  <si>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</si>
  <si>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</si>
  <si>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</si>
  <si>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</si>
  <si>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</si>
  <si>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</si>
  <si>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</si>
  <si>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</si>
  <si>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</si>
  <si>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</si>
  <si>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</si>
  <si>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</si>
  <si>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</si>
  <si>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</si>
  <si>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</si>
  <si>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</si>
  <si>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</si>
  <si>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</si>
  <si>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</si>
  <si>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</si>
  <si>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</si>
  <si>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</si>
  <si>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</si>
  <si>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</si>
  <si>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</si>
  <si>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</si>
  <si>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</si>
  <si>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</si>
  <si>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</si>
  <si>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</si>
  <si>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</si>
  <si>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</si>
  <si>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</si>
  <si>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</si>
  <si>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</si>
  <si>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</si>
  <si>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</si>
  <si>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</si>
  <si>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</si>
  <si>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</si>
  <si>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</si>
  <si>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</si>
  <si>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</si>
  <si>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</si>
  <si>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</si>
  <si>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</si>
  <si>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</si>
  <si>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</si>
  <si>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</si>
  <si>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</si>
  <si>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</si>
  <si>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</si>
  <si>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</si>
  <si>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</si>
  <si>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</si>
  <si>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</si>
  <si>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</si>
  <si>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</si>
  <si>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</si>
  <si>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</si>
  <si>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</si>
  <si>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</si>
  <si>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</si>
  <si>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</si>
  <si>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</si>
  <si>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</si>
  <si>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</si>
  <si>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</si>
  <si>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</si>
  <si>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</si>
  <si>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</si>
  <si>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</si>
  <si>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</si>
  <si>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</si>
  <si>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</si>
  <si>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</si>
  <si>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</si>
  <si>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</si>
  <si>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</si>
  <si>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</si>
  <si>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</si>
  <si>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</si>
  <si>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</si>
  <si>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</si>
  <si>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</si>
  <si>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</si>
  <si>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</si>
  <si>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</si>
  <si>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</si>
  <si>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</si>
  <si>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</si>
  <si>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</si>
  <si>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</si>
  <si>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</si>
  <si>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</si>
  <si>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</si>
  <si>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</si>
  <si>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</si>
  <si>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</si>
  <si>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</si>
  <si>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</si>
  <si>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</si>
  <si>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</si>
  <si>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</si>
  <si>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</si>
  <si>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</si>
  <si>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</si>
  <si>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</si>
  <si>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</si>
  <si>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</si>
  <si>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</si>
  <si>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</si>
  <si>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</si>
  <si>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</si>
  <si>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</si>
  <si>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</si>
  <si>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</si>
  <si>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</si>
  <si>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</si>
  <si>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</si>
  <si>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</si>
  <si>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</si>
  <si>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</si>
  <si>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</si>
  <si>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</si>
  <si>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</si>
  <si>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</si>
  <si>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</si>
  <si>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</si>
  <si>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</si>
  <si>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</si>
  <si>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</si>
  <si>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</si>
  <si>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</si>
  <si>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</si>
  <si>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</si>
  <si>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</si>
  <si>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</si>
  <si>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</si>
  <si>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</si>
  <si>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</si>
  <si>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</si>
  <si>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</si>
  <si>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</si>
  <si>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</si>
  <si>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</si>
  <si>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</si>
  <si>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</si>
  <si>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</si>
  <si>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</si>
  <si>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</si>
  <si>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</si>
  <si>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</si>
  <si>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</si>
  <si>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</si>
  <si>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</si>
  <si>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</si>
  <si>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</si>
  <si>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</si>
  <si>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</si>
  <si>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</si>
  <si>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</si>
  <si>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</si>
  <si>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</si>
  <si>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</si>
  <si>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</si>
  <si>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</si>
  <si>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</si>
  <si>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</si>
  <si>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</si>
  <si>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</si>
  <si>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</si>
  <si>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</si>
  <si>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</si>
  <si>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</si>
  <si>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</si>
  <si>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</si>
  <si>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</si>
  <si>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</si>
  <si>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</si>
  <si>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</si>
  <si>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</si>
  <si>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</si>
  <si>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</si>
  <si>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</si>
  <si>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</si>
  <si>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</si>
  <si>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</si>
  <si>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</si>
  <si>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</si>
  <si>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</si>
  <si>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</si>
  <si>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</si>
  <si>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</si>
  <si>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</si>
  <si>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</si>
  <si>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</si>
  <si>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</si>
  <si>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</si>
  <si>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</si>
  <si>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</si>
  <si>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</si>
  <si>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</si>
  <si>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</si>
  <si>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</si>
  <si>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</si>
  <si>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</si>
  <si>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</si>
  <si>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</si>
  <si>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</si>
  <si>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</si>
  <si>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</si>
  <si>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</si>
  <si>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</si>
  <si>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</si>
  <si>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</si>
  <si>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</si>
  <si>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</si>
  <si>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</si>
  <si>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</si>
  <si>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</si>
  <si>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</si>
  <si>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</si>
  <si>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</si>
  <si>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</si>
  <si>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</si>
  <si>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</si>
  <si>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</si>
  <si>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</si>
  <si>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</si>
  <si>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</si>
  <si>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</si>
  <si>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</si>
  <si>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</si>
  <si>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</si>
  <si>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</si>
  <si>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</si>
  <si>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</si>
  <si>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</si>
  <si>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</si>
  <si>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</si>
  <si>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</si>
  <si>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</si>
  <si>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</si>
  <si>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</si>
  <si>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</si>
  <si>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</si>
  <si>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</si>
  <si>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</si>
  <si>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</si>
  <si>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</si>
  <si>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</si>
  <si>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</si>
  <si>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</si>
  <si>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</si>
  <si>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</si>
  <si>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</si>
  <si>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</si>
  <si>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</si>
  <si>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</si>
  <si>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</si>
  <si>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</si>
  <si>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</si>
  <si>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</si>
  <si>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</si>
  <si>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</si>
  <si>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</si>
  <si>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</si>
  <si>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</si>
  <si>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</si>
  <si>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</si>
  <si>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</si>
  <si>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</si>
  <si>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</si>
  <si>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</si>
  <si>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</si>
  <si>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</si>
  <si>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</si>
  <si>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</si>
  <si>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</si>
  <si>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</si>
  <si>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</si>
  <si>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</si>
  <si>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</si>
  <si>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</si>
  <si>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</si>
  <si>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</si>
  <si>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</si>
  <si>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</si>
  <si>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</si>
  <si>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</si>
  <si>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</si>
  <si>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</si>
  <si>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</si>
  <si>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</si>
  <si>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</si>
  <si>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</si>
  <si>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</si>
  <si>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</si>
  <si>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</si>
  <si>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</si>
  <si>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</si>
  <si>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</si>
  <si>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</si>
  <si>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</si>
  <si>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</si>
  <si>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</si>
  <si>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</si>
  <si>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</si>
  <si>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</si>
  <si>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</si>
  <si>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</si>
  <si>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</si>
  <si>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</si>
  <si>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</si>
  <si>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</si>
  <si>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</si>
  <si>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</si>
  <si>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</si>
  <si>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</si>
  <si>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</si>
  <si>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</si>
  <si>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</si>
  <si>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</si>
  <si>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</si>
  <si>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</si>
  <si>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</si>
  <si>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</si>
  <si>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</si>
  <si>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</si>
  <si>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</si>
  <si>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</si>
  <si>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</si>
  <si>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</si>
  <si>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</si>
  <si>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</si>
  <si>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</si>
  <si>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</si>
  <si>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</si>
  <si>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</si>
  <si>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</si>
  <si>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</si>
  <si>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</si>
  <si>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</si>
  <si>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</si>
  <si>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</si>
  <si>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</si>
  <si>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</si>
  <si>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</si>
  <si>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</si>
  <si>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</si>
  <si>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</si>
  <si>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</si>
  <si>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</si>
  <si>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</si>
  <si>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</si>
  <si>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</si>
  <si>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</si>
  <si>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</si>
  <si>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</si>
  <si>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</si>
  <si>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</si>
  <si>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</si>
  <si>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</si>
  <si>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</si>
  <si>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</si>
  <si>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</si>
  <si>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</si>
  <si>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</si>
  <si>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</si>
  <si>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</si>
  <si>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</si>
  <si>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</si>
  <si>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</si>
  <si>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</si>
  <si>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</si>
  <si>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</si>
  <si>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</si>
  <si>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</si>
  <si>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</si>
  <si>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</si>
  <si>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</si>
  <si>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</si>
  <si>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</si>
  <si>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</si>
  <si>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</si>
  <si>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</si>
  <si>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</si>
  <si>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</si>
  <si>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</si>
  <si>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</si>
  <si>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</si>
  <si>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</si>
  <si>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</si>
  <si>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</si>
  <si>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</si>
  <si>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</si>
  <si>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</si>
  <si>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</si>
  <si>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</si>
  <si>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</si>
  <si>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</si>
  <si>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</si>
  <si>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</si>
  <si>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</si>
  <si>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</si>
  <si>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</si>
  <si>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</si>
  <si>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</si>
  <si>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</si>
  <si>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</si>
  <si>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</si>
  <si>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</si>
  <si>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</si>
  <si>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</si>
  <si>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</si>
  <si>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</si>
  <si>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</si>
  <si>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</si>
  <si>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</si>
  <si>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</si>
  <si>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</si>
  <si>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</si>
  <si>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</si>
  <si>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</si>
  <si>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</si>
  <si>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</si>
  <si>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</si>
  <si>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</si>
  <si>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</si>
  <si>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</si>
  <si>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</si>
  <si>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</si>
  <si>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</si>
  <si>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</si>
  <si>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</si>
  <si>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</si>
  <si>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</si>
  <si>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</si>
  <si>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</si>
  <si>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</si>
  <si>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</si>
  <si>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</si>
  <si>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</si>
  <si>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</si>
  <si>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</si>
  <si>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</si>
  <si>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</si>
  <si>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</si>
  <si>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</si>
  <si>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</si>
  <si>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</si>
  <si>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</si>
  <si>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</si>
  <si>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</si>
  <si>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</si>
  <si>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</si>
  <si>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</si>
  <si>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</si>
  <si>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</si>
  <si>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</si>
  <si>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</si>
  <si>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</si>
  <si>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</si>
  <si>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</si>
  <si>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</si>
  <si>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</si>
  <si>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</si>
  <si>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</si>
  <si>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</si>
  <si>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</si>
  <si>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</si>
  <si>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</si>
  <si>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</si>
  <si>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</si>
  <si>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</si>
  <si>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</si>
  <si>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</si>
  <si>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</si>
  <si>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</si>
  <si>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</si>
  <si>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</si>
  <si>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</si>
  <si>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</si>
  <si>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</si>
  <si>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</si>
  <si>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</si>
  <si>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</si>
  <si>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</si>
  <si>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</si>
  <si>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</si>
  <si>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</si>
  <si>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</si>
  <si>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</si>
  <si>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</si>
  <si>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</si>
  <si>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</si>
  <si>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</si>
  <si>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</si>
  <si>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</si>
  <si>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</si>
  <si>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</si>
  <si>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</si>
  <si>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</si>
  <si>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</si>
  <si>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</si>
  <si>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</si>
  <si>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</si>
  <si>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</si>
  <si>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</si>
  <si>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</si>
  <si>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</si>
  <si>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</si>
  <si>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</si>
  <si>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</si>
  <si>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</si>
  <si>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</si>
  <si>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</si>
  <si>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</si>
  <si>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</si>
  <si>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</si>
  <si>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</si>
  <si>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</si>
  <si>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</si>
  <si>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</si>
  <si>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</si>
  <si>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</si>
  <si>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</si>
  <si>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</si>
  <si>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</si>
  <si>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</si>
  <si>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</si>
  <si>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</si>
  <si>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</si>
  <si>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</si>
  <si>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</si>
  <si>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</si>
  <si>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</si>
  <si>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</si>
  <si>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</si>
  <si>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</si>
  <si>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</si>
  <si>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</si>
  <si>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</si>
  <si>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</si>
  <si>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</si>
  <si>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</si>
  <si>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</si>
  <si>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</si>
  <si>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</si>
  <si>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</si>
  <si>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</si>
  <si>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</si>
  <si>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</si>
  <si>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</si>
  <si>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</si>
  <si>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</si>
  <si>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</si>
  <si>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</si>
  <si>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</si>
  <si>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</si>
  <si>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</si>
  <si>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</si>
  <si>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</si>
  <si>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</si>
  <si>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</si>
  <si>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</si>
  <si>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</si>
  <si>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</si>
  <si>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</si>
  <si>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</si>
  <si>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</si>
  <si>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</si>
  <si>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</si>
  <si>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</si>
  <si>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</si>
  <si>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</si>
  <si>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</si>
  <si>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</si>
  <si>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</si>
  <si>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</si>
  <si>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</si>
  <si>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</si>
  <si>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</si>
  <si>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</si>
  <si>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</si>
  <si>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</si>
  <si>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</si>
  <si>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</si>
  <si>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</si>
  <si>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</si>
  <si>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</si>
  <si>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</si>
  <si>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</si>
  <si>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</si>
  <si>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</si>
  <si>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</si>
  <si>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</si>
  <si>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</si>
  <si>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</si>
  <si>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</si>
  <si>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</si>
  <si>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</si>
  <si>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</si>
  <si>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</si>
  <si>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</si>
  <si>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</si>
  <si>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</si>
  <si>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</si>
  <si>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</si>
  <si>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</si>
  <si>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</si>
  <si>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</si>
  <si>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</si>
  <si>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</si>
  <si>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</si>
  <si>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</si>
  <si>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</si>
  <si>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</si>
  <si>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</si>
  <si>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</si>
  <si>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</si>
  <si>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</si>
  <si>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</si>
  <si>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</si>
  <si>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</si>
  <si>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</si>
  <si>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</si>
  <si>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</si>
  <si>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</si>
  <si>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</si>
  <si>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</si>
  <si>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</si>
  <si>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</si>
  <si>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</si>
  <si>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</si>
  <si>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</si>
  <si>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</si>
  <si>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</si>
  <si>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</si>
  <si>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</si>
  <si>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</si>
  <si>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</si>
  <si>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</si>
  <si>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</si>
  <si>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</si>
  <si>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</si>
  <si>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</si>
  <si>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</si>
  <si>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</si>
  <si>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</si>
  <si>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</si>
  <si>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</si>
  <si>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</si>
  <si>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</si>
  <si>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</si>
  <si>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</si>
  <si>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</si>
  <si>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</si>
  <si>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</si>
  <si>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</si>
  <si>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</si>
  <si>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</si>
  <si>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</si>
  <si>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</si>
  <si>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</si>
  <si>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</si>
  <si>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</si>
  <si>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</si>
  <si>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</si>
  <si>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</si>
  <si>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</si>
  <si>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</si>
  <si>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</si>
  <si>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</si>
  <si>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</si>
  <si>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</si>
  <si>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</si>
  <si>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</si>
  <si>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</si>
  <si>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</si>
  <si>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</si>
  <si>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</si>
  <si>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</si>
  <si>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</si>
  <si>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</si>
  <si>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</si>
  <si>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</si>
  <si>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</si>
  <si>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</si>
  <si>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</si>
  <si>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</si>
  <si>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</si>
  <si>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</si>
  <si>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</si>
  <si>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</si>
  <si>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</si>
  <si>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</si>
  <si>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</si>
  <si>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</si>
  <si>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</si>
  <si>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</si>
  <si>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</si>
  <si>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</si>
  <si>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</si>
  <si>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</si>
  <si>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</si>
  <si>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</si>
  <si>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</si>
  <si>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</si>
  <si>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</si>
  <si>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</si>
  <si>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</si>
  <si>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</si>
  <si>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</si>
  <si>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</si>
  <si>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</si>
  <si>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</si>
  <si>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</si>
  <si>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</si>
  <si>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</si>
  <si>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</si>
  <si>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</si>
  <si>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</si>
  <si>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</si>
  <si>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</si>
  <si>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</si>
  <si>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</si>
  <si>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</si>
  <si>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</si>
  <si>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</si>
  <si>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</si>
  <si>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</si>
  <si>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</si>
  <si>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</si>
  <si>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</si>
  <si>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</si>
  <si>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</si>
  <si>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</si>
  <si>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</si>
  <si>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</si>
  <si>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</si>
  <si>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</si>
  <si>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</si>
  <si>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</si>
  <si>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</si>
  <si>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</si>
  <si>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</si>
  <si>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</si>
  <si>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</si>
  <si>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</si>
  <si>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</si>
  <si>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</si>
  <si>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</si>
  <si>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</si>
  <si>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</si>
  <si>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</si>
  <si>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</si>
  <si>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</si>
  <si>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</si>
  <si>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</si>
  <si>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</si>
  <si>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</si>
  <si>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</si>
  <si>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</si>
  <si>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</si>
  <si>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</si>
  <si>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</si>
  <si>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</si>
  <si>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</si>
  <si>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</si>
  <si>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</si>
  <si>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</si>
  <si>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</si>
  <si>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</si>
  <si>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</si>
  <si>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</si>
  <si>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</si>
  <si>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</si>
  <si>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</si>
  <si>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</si>
  <si>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</si>
  <si>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</si>
  <si>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</si>
  <si>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</si>
  <si>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</si>
  <si>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</si>
  <si>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</si>
  <si>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</si>
  <si>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</si>
  <si>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</si>
  <si>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</si>
  <si>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</si>
  <si>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</si>
  <si>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</si>
  <si>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</si>
  <si>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</si>
  <si>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</si>
  <si>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</si>
  <si>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</si>
  <si>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</si>
  <si>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</si>
  <si>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</si>
  <si>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</si>
  <si>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</si>
  <si>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</si>
  <si>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</si>
  <si>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</si>
  <si>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</si>
  <si>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</si>
  <si>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</si>
  <si>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</si>
  <si>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</si>
  <si>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</si>
  <si>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</si>
  <si>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</si>
  <si>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</si>
  <si>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</si>
  <si>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</si>
  <si>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</si>
  <si>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</si>
  <si>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</si>
  <si>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</si>
  <si>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</si>
  <si>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</si>
  <si>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</si>
  <si>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</si>
  <si>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</si>
  <si>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</si>
  <si>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</si>
  <si>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</si>
  <si>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</si>
  <si>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</si>
  <si>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</si>
  <si>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</si>
  <si>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</si>
  <si>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</si>
  <si>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</si>
  <si>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</si>
  <si>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</si>
  <si>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</si>
  <si>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</si>
  <si>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</si>
  <si>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</si>
  <si>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</si>
  <si>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</si>
  <si>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</si>
  <si>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</si>
  <si>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</si>
  <si>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</si>
  <si>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</si>
  <si>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</si>
  <si>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</si>
  <si>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</si>
  <si>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</si>
  <si>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</si>
  <si>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</si>
  <si>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</si>
  <si>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</si>
  <si>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</si>
  <si>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</si>
  <si>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</si>
  <si>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</si>
  <si>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</si>
  <si>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</si>
  <si>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</si>
  <si>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</si>
  <si>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</si>
  <si>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</si>
  <si>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</si>
  <si>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</si>
  <si>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</si>
  <si>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</si>
  <si>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</si>
  <si>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</si>
  <si>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</si>
  <si>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</si>
  <si>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</si>
  <si>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</si>
  <si>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</si>
  <si>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</si>
  <si>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</si>
  <si>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</si>
  <si>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</si>
  <si>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</si>
  <si>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</si>
  <si>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</si>
  <si>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</si>
  <si>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</si>
  <si>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</si>
  <si>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</si>
  <si>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</si>
  <si>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</si>
  <si>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</si>
  <si>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</si>
  <si>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</si>
  <si>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</si>
  <si>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</si>
  <si>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</si>
  <si>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</si>
  <si>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</si>
  <si>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</si>
  <si>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</si>
  <si>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</si>
  <si>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</si>
  <si>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</si>
  <si>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</si>
  <si>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</si>
  <si>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</si>
  <si>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</si>
  <si>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</si>
  <si>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</si>
  <si>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</si>
  <si>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</si>
  <si>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</si>
  <si>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</si>
  <si>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</si>
  <si>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</si>
  <si>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</si>
  <si>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</si>
  <si>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</si>
  <si>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</si>
  <si>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</si>
  <si>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</si>
  <si>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</si>
  <si>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</si>
  <si>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</si>
  <si>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</si>
  <si>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</si>
  <si>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</si>
  <si>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</si>
  <si>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</si>
  <si>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</si>
  <si>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</si>
  <si>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</si>
  <si>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</si>
  <si>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</si>
  <si>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</si>
  <si>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</si>
  <si>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</si>
  <si>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</si>
  <si>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</si>
  <si>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</si>
  <si>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</si>
  <si>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</si>
  <si>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</si>
  <si>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</si>
  <si>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</si>
  <si>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</si>
  <si>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</si>
  <si>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</si>
  <si>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</si>
  <si>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</si>
  <si>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</si>
  <si>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</si>
  <si>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</si>
  <si>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</si>
  <si>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</si>
  <si>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</si>
  <si>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</si>
  <si>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</si>
  <si>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</si>
  <si>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</si>
  <si>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</si>
  <si>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</si>
  <si>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</si>
  <si>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</si>
  <si>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</si>
  <si>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</si>
  <si>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</si>
  <si>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</si>
  <si>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</si>
  <si>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</si>
  <si>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</si>
  <si>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</si>
  <si>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</si>
  <si>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</si>
  <si>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</si>
  <si>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</si>
  <si>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</si>
  <si>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</si>
  <si>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</si>
  <si>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</si>
  <si>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</si>
  <si>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</si>
  <si>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</si>
  <si>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</si>
  <si>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</si>
  <si>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</si>
  <si>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</si>
  <si>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</si>
  <si>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</si>
  <si>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</si>
  <si>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</si>
  <si>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</si>
  <si>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</si>
  <si>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</si>
  <si>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</si>
  <si>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</si>
  <si>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</si>
  <si>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</si>
  <si>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</si>
  <si>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</si>
  <si>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</si>
  <si>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</si>
  <si>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</si>
  <si>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</si>
  <si>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</si>
  <si>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</si>
  <si>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</si>
  <si>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</si>
  <si>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</si>
  <si>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</si>
  <si>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</si>
  <si>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</si>
  <si>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</si>
  <si>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</si>
  <si>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</si>
  <si>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</si>
  <si>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</si>
  <si>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</si>
  <si>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</si>
  <si>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</si>
  <si>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</si>
  <si>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</si>
  <si>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</si>
  <si>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</si>
  <si>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</si>
  <si>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</si>
  <si>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</si>
  <si>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</si>
  <si>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</si>
  <si>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</si>
  <si>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</si>
  <si>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</si>
  <si>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</si>
  <si>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</si>
  <si>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</si>
  <si>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</si>
  <si>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</si>
  <si>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</si>
  <si>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</si>
  <si>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</si>
  <si>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</si>
  <si>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</si>
  <si>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</si>
  <si>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</si>
  <si>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</si>
  <si>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</si>
  <si>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</si>
  <si>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</si>
  <si>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</si>
  <si>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</si>
  <si>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</si>
  <si>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</si>
  <si>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</si>
  <si>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</si>
  <si>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</si>
  <si>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</si>
  <si>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</si>
  <si>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</si>
  <si>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</si>
  <si>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</si>
  <si>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</si>
  <si>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</si>
  <si>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</si>
  <si>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</si>
  <si>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</si>
  <si>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</si>
  <si>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</si>
  <si>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</si>
  <si>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</si>
  <si>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</si>
  <si>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</si>
  <si>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</si>
  <si>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</si>
  <si>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</si>
  <si>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</si>
  <si>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</si>
  <si>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</si>
  <si>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</si>
  <si>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</si>
  <si>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</si>
  <si>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</si>
  <si>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</si>
  <si>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</si>
  <si>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</si>
  <si>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</si>
  <si>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</si>
  <si>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</si>
  <si>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</si>
  <si>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</si>
  <si>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</si>
  <si>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</si>
  <si>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</si>
  <si>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</si>
  <si>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</si>
  <si>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</si>
  <si>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</si>
  <si>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</si>
  <si>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</si>
  <si>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</si>
  <si>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</si>
  <si>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</si>
  <si>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</si>
  <si>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</si>
  <si>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</si>
  <si>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</si>
  <si>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</si>
  <si>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</si>
  <si>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</si>
  <si>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</si>
  <si>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</si>
  <si>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</si>
  <si>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</si>
  <si>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</si>
  <si>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</si>
  <si>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</si>
  <si>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</si>
  <si>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</si>
  <si>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</si>
  <si>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</si>
  <si>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</si>
  <si>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</si>
  <si>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</si>
  <si>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</si>
  <si>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</si>
  <si>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</si>
  <si>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</si>
  <si>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</si>
  <si>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</si>
  <si>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</si>
  <si>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</si>
  <si>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</si>
  <si>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</si>
  <si>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</si>
  <si>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</si>
  <si>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</si>
  <si>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</si>
  <si>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</si>
  <si>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</si>
  <si>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</si>
  <si>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</si>
  <si>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</si>
  <si>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</si>
  <si>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</si>
  <si>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</si>
  <si>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</si>
  <si>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</si>
  <si>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</si>
  <si>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</si>
  <si>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</si>
  <si>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</si>
  <si>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</si>
  <si>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</si>
  <si>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</si>
  <si>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</si>
  <si>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</si>
  <si>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</si>
  <si>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</si>
  <si>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</si>
  <si>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</si>
  <si>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</si>
  <si>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</si>
  <si>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</si>
  <si>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</si>
  <si>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</si>
  <si>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</si>
  <si>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</si>
  <si>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</si>
  <si>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</si>
  <si>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</si>
  <si>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</si>
  <si>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</si>
  <si>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</si>
  <si>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</si>
  <si>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</si>
  <si>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</si>
  <si>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</si>
  <si>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</si>
  <si>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</si>
  <si>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</si>
  <si>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</si>
  <si>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</si>
  <si>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</si>
  <si>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</si>
  <si>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</si>
  <si>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</si>
  <si>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</si>
  <si>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</si>
  <si>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</si>
  <si>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</si>
  <si>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</si>
  <si>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</si>
  <si>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</si>
  <si>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</si>
  <si>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</si>
  <si>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</si>
  <si>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</si>
  <si>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</si>
  <si>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</si>
  <si>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</si>
  <si>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</si>
  <si>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</si>
  <si>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</si>
  <si>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</si>
  <si>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</si>
  <si>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</si>
  <si>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</si>
  <si>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</si>
  <si>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</si>
  <si>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</si>
  <si>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</si>
  <si>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</si>
  <si>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</si>
  <si>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</si>
  <si>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</si>
  <si>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</si>
  <si>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</si>
  <si>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</si>
  <si>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</si>
  <si>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</si>
  <si>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</si>
  <si>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</si>
  <si>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</si>
  <si>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</si>
  <si>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</si>
  <si>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</si>
  <si>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</si>
  <si>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</si>
  <si>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</si>
  <si>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</si>
  <si>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</si>
  <si>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</si>
  <si>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</si>
  <si>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</si>
  <si>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</si>
  <si>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</si>
  <si>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</si>
  <si>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</si>
  <si>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</si>
  <si>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</si>
  <si>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</si>
  <si>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</si>
  <si>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</si>
  <si>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</si>
  <si>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</si>
  <si>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</si>
  <si>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</si>
  <si>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</si>
  <si>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</si>
  <si>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</si>
  <si>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</si>
  <si>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</si>
  <si>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</si>
  <si>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</si>
  <si>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</si>
  <si>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</si>
  <si>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</si>
  <si>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</si>
  <si>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</si>
  <si>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</si>
  <si>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</si>
  <si>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</si>
  <si>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</si>
  <si>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</si>
  <si>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</si>
  <si>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</si>
  <si>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</si>
  <si>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</si>
  <si>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</si>
  <si>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</si>
  <si>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</si>
  <si>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</si>
  <si>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</si>
  <si>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</si>
  <si>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</si>
  <si>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</si>
  <si>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</si>
  <si>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</si>
  <si>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</si>
  <si>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</si>
  <si>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</si>
  <si>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</si>
  <si>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</si>
  <si>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</si>
  <si>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</si>
  <si>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</si>
  <si>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</si>
  <si>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</si>
  <si>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</si>
  <si>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</si>
  <si>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</si>
  <si>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</si>
  <si>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</si>
  <si>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</si>
  <si>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</si>
  <si>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</si>
  <si>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</si>
  <si>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</si>
  <si>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</si>
  <si>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</si>
  <si>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</si>
  <si>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</si>
  <si>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</si>
  <si>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</si>
  <si>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</si>
  <si>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</si>
  <si>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</si>
  <si>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</si>
  <si>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</si>
  <si>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</si>
  <si>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</si>
  <si>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</si>
  <si>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</si>
  <si>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</si>
  <si>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</si>
  <si>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</si>
  <si>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</si>
  <si>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</si>
  <si>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</si>
  <si>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</si>
  <si>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</si>
  <si>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</si>
  <si>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</si>
  <si>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</si>
  <si>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</si>
  <si>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</si>
  <si>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</si>
  <si>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</si>
  <si>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</si>
  <si>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</si>
  <si>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</si>
  <si>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</si>
  <si>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</si>
  <si>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</si>
  <si>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</si>
  <si>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</si>
  <si>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</si>
  <si>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</si>
  <si>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</si>
  <si>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</si>
  <si>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</si>
  <si>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</si>
  <si>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</si>
  <si>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</si>
  <si>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</si>
  <si>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</si>
  <si>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</si>
  <si>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</si>
  <si>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</si>
  <si>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</si>
  <si>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</si>
  <si>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</si>
  <si>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</si>
  <si>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</si>
  <si>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</si>
  <si>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</si>
  <si>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</si>
  <si>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</si>
  <si>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</si>
  <si>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</si>
  <si>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</si>
  <si>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</si>
  <si>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</si>
  <si>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</si>
  <si>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</si>
  <si>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</si>
  <si>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</si>
  <si>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</si>
  <si>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</si>
  <si>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</si>
  <si>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</si>
  <si>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</si>
  <si>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</si>
  <si>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</si>
  <si>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</si>
  <si>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</si>
  <si>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</si>
  <si>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</si>
  <si>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</si>
  <si>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</si>
  <si>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</si>
  <si>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</si>
  <si>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</si>
  <si>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</si>
  <si>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</si>
  <si>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</si>
  <si>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</si>
  <si>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</si>
  <si>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</si>
  <si>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</si>
  <si>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</si>
  <si>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</si>
  <si>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</si>
  <si>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</si>
  <si>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</si>
  <si>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</si>
  <si>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</si>
  <si>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</si>
  <si>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</si>
  <si>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</si>
  <si>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</si>
  <si>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</si>
  <si>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</si>
  <si>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</si>
  <si>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</si>
  <si>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</si>
  <si>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</si>
  <si>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</si>
  <si>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</si>
  <si>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</si>
  <si>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</si>
  <si>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</si>
  <si>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</si>
  <si>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</si>
  <si>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</si>
  <si>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</si>
  <si>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</si>
  <si>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</si>
  <si>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</si>
  <si>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</si>
  <si>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</si>
  <si>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</si>
  <si>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</si>
  <si>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</si>
  <si>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</si>
  <si>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</si>
  <si>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</si>
  <si>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</si>
  <si>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</si>
  <si>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</si>
  <si>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</si>
  <si>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</si>
  <si>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</si>
  <si>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</si>
  <si>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</si>
  <si>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</si>
  <si>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</si>
  <si>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</si>
  <si>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</si>
  <si>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</si>
  <si>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</si>
  <si>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</si>
  <si>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</si>
  <si>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</si>
  <si>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</si>
  <si>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</si>
  <si>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</si>
  <si>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</si>
  <si>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</si>
  <si>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</si>
  <si>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</si>
  <si>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</si>
  <si>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</si>
  <si>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</si>
  <si>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</si>
  <si>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</si>
  <si>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</si>
  <si>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</si>
  <si>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</si>
  <si>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</si>
  <si>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</si>
  <si>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</si>
  <si>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</si>
  <si>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</si>
  <si>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</si>
  <si>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</si>
  <si>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</si>
  <si>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</si>
  <si>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</si>
  <si>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</si>
  <si>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</si>
  <si>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</si>
  <si>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</si>
  <si>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</si>
  <si>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</si>
  <si>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</si>
  <si>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</si>
  <si>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</si>
  <si>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</si>
  <si>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</si>
  <si>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</si>
  <si>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</si>
  <si>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</si>
  <si>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en el Municipio de Leon Guanajuato</t>
  </si>
  <si>
    <t>Al 31 de diciembre de 2019 y al 30 de septiembre de 2020 (b)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</si>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</sst>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0" fillId="0" borderId="13" xfId="0" applyNumberForma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A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50" t="s">
        <v>829</v>
      </c>
      <c r="B1" s="151"/>
      <c r="C1" s="151"/>
      <c r="D1" s="151"/>
      <c r="E1" s="152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3" t="s">
        <v>3302</v>
      </c>
      <c r="D3" s="153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6" t="s">
        <v>542</v>
      </c>
      <c r="B1" s="166"/>
      <c r="C1" s="166"/>
      <c r="D1" s="166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4" t="str">
        <f>ENTE_PUBLICO_A</f>
        <v>Sistema para el Desarrollo Integral de la Familia en el Municipio de Leon Guanajuato, Gobierno del Estado de Guanajuato (a)</v>
      </c>
      <c r="B2" s="155"/>
      <c r="C2" s="155"/>
      <c r="D2" s="156"/>
    </row>
    <row r="3" spans="1:11" ht="14.25" x14ac:dyDescent="0.45">
      <c r="A3" s="157" t="s">
        <v>166</v>
      </c>
      <c r="B3" s="158"/>
      <c r="C3" s="158"/>
      <c r="D3" s="159"/>
    </row>
    <row r="4" spans="1:11" ht="14.25" x14ac:dyDescent="0.45">
      <c r="A4" s="160" t="str">
        <f>TRIMESTRE</f>
        <v>Del 1 de enero al 30 de septiembre de 2020 (b)</v>
      </c>
      <c r="B4" s="161"/>
      <c r="C4" s="161"/>
      <c r="D4" s="162"/>
    </row>
    <row r="5" spans="1:11" ht="14.25" x14ac:dyDescent="0.45">
      <c r="A5" s="163" t="s">
        <v>118</v>
      </c>
      <c r="B5" s="164"/>
      <c r="C5" s="164"/>
      <c r="D5" s="165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129663404</v>
      </c>
      <c r="C8" s="40">
        <f t="shared" ref="C8:D8" si="0">SUM(C9:C11)</f>
        <v>107682076.83999999</v>
      </c>
      <c r="D8" s="40">
        <f t="shared" si="0"/>
        <v>97601837.839999989</v>
      </c>
    </row>
    <row r="9" spans="1:11" x14ac:dyDescent="0.25">
      <c r="A9" s="53" t="s">
        <v>169</v>
      </c>
      <c r="B9" s="23">
        <v>129663404</v>
      </c>
      <c r="C9" s="23">
        <v>107682076.83999999</v>
      </c>
      <c r="D9" s="23">
        <v>97601837.839999989</v>
      </c>
    </row>
    <row r="10" spans="1:11" ht="14.25" x14ac:dyDescent="0.45">
      <c r="A10" s="53" t="s">
        <v>170</v>
      </c>
      <c r="B10" s="23">
        <v>0</v>
      </c>
      <c r="C10" s="23">
        <v>0</v>
      </c>
      <c r="D10" s="23">
        <v>0</v>
      </c>
    </row>
    <row r="11" spans="1:11" ht="14.25" x14ac:dyDescent="0.4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129663404</v>
      </c>
      <c r="C13" s="40">
        <f t="shared" ref="C13:D13" si="2">C14+C15</f>
        <v>95573972.440000013</v>
      </c>
      <c r="D13" s="40">
        <f t="shared" si="2"/>
        <v>95569724.550000012</v>
      </c>
    </row>
    <row r="14" spans="1:11" x14ac:dyDescent="0.25">
      <c r="A14" s="53" t="s">
        <v>172</v>
      </c>
      <c r="B14" s="23">
        <v>129663404</v>
      </c>
      <c r="C14" s="23">
        <v>95573972.440000013</v>
      </c>
      <c r="D14" s="23">
        <v>95569724.550000012</v>
      </c>
    </row>
    <row r="15" spans="1:11" x14ac:dyDescent="0.25">
      <c r="A15" s="53" t="s">
        <v>173</v>
      </c>
      <c r="B15" s="23"/>
      <c r="C15" s="23">
        <v>0</v>
      </c>
      <c r="D15" s="23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3">C18+C19</f>
        <v>3186741.85</v>
      </c>
      <c r="D17" s="40">
        <f>D18+D19</f>
        <v>3186741.85</v>
      </c>
    </row>
    <row r="18" spans="1:4" x14ac:dyDescent="0.25">
      <c r="A18" s="53" t="s">
        <v>175</v>
      </c>
      <c r="B18" s="119">
        <v>0</v>
      </c>
      <c r="C18" s="23">
        <v>3186741.85</v>
      </c>
      <c r="D18" s="23">
        <v>3186741.85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4">C8-C13+C17</f>
        <v>15294846.249999976</v>
      </c>
      <c r="D21" s="40">
        <f t="shared" si="4"/>
        <v>5218855.1399999764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5">C21-C11</f>
        <v>15294846.249999976</v>
      </c>
      <c r="D23" s="40">
        <f t="shared" si="5"/>
        <v>5218855.1399999764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6">C23-C17</f>
        <v>12108104.399999976</v>
      </c>
      <c r="D25" s="40">
        <f>D23-D17</f>
        <v>2032113.2899999763</v>
      </c>
    </row>
    <row r="26" spans="1:4" ht="14.25" x14ac:dyDescent="0.45">
      <c r="A26" s="121"/>
      <c r="B26" s="13"/>
      <c r="C26" s="13"/>
      <c r="D26" s="13"/>
    </row>
    <row r="27" spans="1:4" ht="14.25" x14ac:dyDescent="0.45">
      <c r="A27" s="90"/>
    </row>
    <row r="28" spans="1:4" ht="30" customHeight="1" x14ac:dyDescent="0.4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ht="14.25" x14ac:dyDescent="0.45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ht="14.25" x14ac:dyDescent="0.4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8">C25+C29</f>
        <v>12108104.399999976</v>
      </c>
      <c r="D33" s="61">
        <f t="shared" si="8"/>
        <v>2032113.2899999763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129663404</v>
      </c>
      <c r="C48" s="124">
        <f>C9</f>
        <v>107682076.83999999</v>
      </c>
      <c r="D48" s="124">
        <f t="shared" ref="D48" si="12">D9</f>
        <v>97601837.839999989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129663404</v>
      </c>
      <c r="C53" s="60">
        <f t="shared" ref="C53:D53" si="14">C14</f>
        <v>95573972.440000013</v>
      </c>
      <c r="D53" s="60">
        <f t="shared" si="14"/>
        <v>95569724.550000012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5">C18</f>
        <v>3186741.85</v>
      </c>
      <c r="D55" s="60">
        <f t="shared" si="15"/>
        <v>3186741.85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15294846.249999976</v>
      </c>
      <c r="D57" s="61">
        <f t="shared" ref="D57" si="16">D48+D49-D53+D55</f>
        <v>5218855.1399999764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7">C57-C49</f>
        <v>15294846.249999976</v>
      </c>
      <c r="D59" s="61">
        <f t="shared" si="17"/>
        <v>5218855.1399999764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8">C10</f>
        <v>0</v>
      </c>
      <c r="D63" s="122">
        <f t="shared" si="18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20">C15</f>
        <v>0</v>
      </c>
      <c r="D68" s="23">
        <f t="shared" si="20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1">C19</f>
        <v>0</v>
      </c>
      <c r="D70" s="23">
        <f t="shared" si="21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2">C63+C64-C68+C70</f>
        <v>0</v>
      </c>
      <c r="D72" s="40">
        <f t="shared" si="22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3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129663404</v>
      </c>
      <c r="Q2" s="18">
        <f>'Formato 4'!C8</f>
        <v>107682076.83999999</v>
      </c>
      <c r="R2" s="18">
        <f>'Formato 4'!D8</f>
        <v>97601837.839999989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129663404</v>
      </c>
      <c r="Q3" s="18">
        <f>'Formato 4'!C9</f>
        <v>107682076.83999999</v>
      </c>
      <c r="R3" s="18">
        <f>'Formato 4'!D9</f>
        <v>97601837.839999989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129663404</v>
      </c>
      <c r="Q6" s="18">
        <f>'Formato 4'!C13</f>
        <v>95573972.440000013</v>
      </c>
      <c r="R6" s="18">
        <f>'Formato 4'!D13</f>
        <v>95569724.550000012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129663404</v>
      </c>
      <c r="Q7" s="18">
        <f>'Formato 4'!C14</f>
        <v>95573972.440000013</v>
      </c>
      <c r="R7" s="18">
        <f>'Formato 4'!D14</f>
        <v>95569724.550000012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3186741.85</v>
      </c>
      <c r="R9" s="18">
        <f>'Formato 4'!D17</f>
        <v>3186741.85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3186741.85</v>
      </c>
      <c r="R10" s="18">
        <f>'Formato 4'!D18</f>
        <v>3186741.85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15294846.249999976</v>
      </c>
      <c r="R12" s="18">
        <f>'Formato 4'!D21</f>
        <v>5218855.1399999764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15294846.249999976</v>
      </c>
      <c r="R13" s="18">
        <f>'Formato 4'!D23</f>
        <v>5218855.1399999764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12108104.399999976</v>
      </c>
      <c r="R14" s="18">
        <f>'Formato 4'!D25</f>
        <v>2032113.2899999763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12108104.399999976</v>
      </c>
      <c r="R18">
        <f>'Formato 4'!D33</f>
        <v>2032113.2899999763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129663404</v>
      </c>
      <c r="Q26">
        <f>'Formato 4'!C48</f>
        <v>107682076.83999999</v>
      </c>
      <c r="R26">
        <f>'Formato 4'!D48</f>
        <v>97601837.839999989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129663404</v>
      </c>
      <c r="Q30">
        <f>'Formato 4'!C53</f>
        <v>95573972.440000013</v>
      </c>
      <c r="R30">
        <f>'Formato 4'!D53</f>
        <v>95569724.550000012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3186741.85</v>
      </c>
      <c r="R31">
        <f>'Formato 4'!D55</f>
        <v>3186741.85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tabSelected="1" topLeftCell="A64" zoomScale="70" zoomScaleNormal="70" workbookViewId="0">
      <selection activeCell="A3" sqref="C3:D3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2" t="s">
        <v>206</v>
      </c>
      <c r="B1" s="172"/>
      <c r="C1" s="172"/>
      <c r="D1" s="172"/>
      <c r="E1" s="172"/>
      <c r="F1" s="172"/>
      <c r="G1" s="172"/>
    </row>
    <row r="2" spans="1:8" ht="14.25" x14ac:dyDescent="0.45">
      <c r="A2" s="154" t="str">
        <f>ENTE_PUBLICO_A</f>
        <v>Sistema para el Desarrollo Integral de la Familia en el Municipio de Leon Guanajuato, Gobierno del Estado de Guanajuato (a)</v>
      </c>
      <c r="B2" s="155"/>
      <c r="C2" s="155"/>
      <c r="D2" s="155"/>
      <c r="E2" s="155"/>
      <c r="F2" s="155"/>
      <c r="G2" s="156"/>
    </row>
    <row r="3" spans="1:8" x14ac:dyDescent="0.25">
      <c r="A3" s="157" t="s">
        <v>207</v>
      </c>
      <c r="B3" s="158"/>
      <c r="C3" s="158"/>
      <c r="D3" s="158"/>
      <c r="E3" s="158"/>
      <c r="F3" s="158"/>
      <c r="G3" s="159"/>
    </row>
    <row r="4" spans="1:8" ht="14.25" x14ac:dyDescent="0.45">
      <c r="A4" s="160" t="str">
        <f>TRIMESTRE</f>
        <v>Del 1 de enero al 30 de septiembre de 2020 (b)</v>
      </c>
      <c r="B4" s="161"/>
      <c r="C4" s="161"/>
      <c r="D4" s="161"/>
      <c r="E4" s="161"/>
      <c r="F4" s="161"/>
      <c r="G4" s="162"/>
    </row>
    <row r="5" spans="1:8" ht="14.25" x14ac:dyDescent="0.45">
      <c r="A5" s="163" t="s">
        <v>118</v>
      </c>
      <c r="B5" s="164"/>
      <c r="C5" s="164"/>
      <c r="D5" s="164"/>
      <c r="E5" s="164"/>
      <c r="F5" s="164"/>
      <c r="G5" s="165"/>
    </row>
    <row r="6" spans="1:8" x14ac:dyDescent="0.25">
      <c r="A6" s="169" t="s">
        <v>214</v>
      </c>
      <c r="B6" s="171" t="s">
        <v>208</v>
      </c>
      <c r="C6" s="171"/>
      <c r="D6" s="171"/>
      <c r="E6" s="171"/>
      <c r="F6" s="171"/>
      <c r="G6" s="171" t="s">
        <v>209</v>
      </c>
    </row>
    <row r="7" spans="1:8" ht="30" x14ac:dyDescent="0.25">
      <c r="A7" s="170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1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8" x14ac:dyDescent="0.25">
      <c r="A12" s="53" t="s">
        <v>219</v>
      </c>
      <c r="B12" s="60">
        <v>7041843.5099999998</v>
      </c>
      <c r="C12" s="60">
        <v>0</v>
      </c>
      <c r="D12" s="60">
        <v>7041843.5099999998</v>
      </c>
      <c r="E12" s="60">
        <v>1763348</v>
      </c>
      <c r="F12" s="60">
        <v>1763349</v>
      </c>
      <c r="G12" s="60">
        <v>-5278494.51</v>
      </c>
    </row>
    <row r="13" spans="1:8" x14ac:dyDescent="0.25">
      <c r="A13" s="53" t="s">
        <v>220</v>
      </c>
      <c r="B13" s="60">
        <v>4436891.6100000003</v>
      </c>
      <c r="C13" s="60">
        <v>0</v>
      </c>
      <c r="D13" s="60">
        <v>4436891.6100000003</v>
      </c>
      <c r="E13" s="60">
        <v>2322180.4500000002</v>
      </c>
      <c r="F13" s="60">
        <v>2322180.4500000002</v>
      </c>
      <c r="G13" s="60">
        <v>-2114711.16</v>
      </c>
    </row>
    <row r="14" spans="1:8" x14ac:dyDescent="0.25">
      <c r="A14" s="53" t="s">
        <v>221</v>
      </c>
      <c r="B14" s="60">
        <v>4387827.43</v>
      </c>
      <c r="C14" s="60">
        <v>1798205.6800000016</v>
      </c>
      <c r="D14" s="60">
        <v>6186033.1100000013</v>
      </c>
      <c r="E14" s="60">
        <v>1726110.54</v>
      </c>
      <c r="F14" s="60">
        <v>1726110.54</v>
      </c>
      <c r="G14" s="60">
        <v>-2661716.8899999997</v>
      </c>
    </row>
    <row r="15" spans="1:8" x14ac:dyDescent="0.25">
      <c r="A15" s="53" t="s">
        <v>222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8" x14ac:dyDescent="0.25">
      <c r="A16" s="10" t="s">
        <v>275</v>
      </c>
      <c r="B16" s="60">
        <v>0</v>
      </c>
      <c r="C16" s="60">
        <f>C17</f>
        <v>3255826</v>
      </c>
      <c r="D16" s="60">
        <f t="shared" ref="D16:F16" si="0">D17</f>
        <v>3255826</v>
      </c>
      <c r="E16" s="60">
        <f t="shared" si="0"/>
        <v>3852996</v>
      </c>
      <c r="F16" s="60">
        <f t="shared" si="0"/>
        <v>3255826</v>
      </c>
      <c r="G16" s="60">
        <v>0</v>
      </c>
    </row>
    <row r="17" spans="1:7" x14ac:dyDescent="0.25">
      <c r="A17" s="63" t="s">
        <v>223</v>
      </c>
      <c r="B17" s="60">
        <v>0</v>
      </c>
      <c r="C17" s="60">
        <v>3255826</v>
      </c>
      <c r="D17" s="60">
        <v>3255826</v>
      </c>
      <c r="E17" s="60">
        <v>3852996</v>
      </c>
      <c r="F17" s="60">
        <v>3255826</v>
      </c>
      <c r="G17" s="60"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</row>
    <row r="34" spans="1:8" x14ac:dyDescent="0.25">
      <c r="A34" s="53" t="s">
        <v>240</v>
      </c>
      <c r="B34" s="60">
        <v>113796841</v>
      </c>
      <c r="C34" s="60">
        <v>0</v>
      </c>
      <c r="D34" s="60">
        <v>113796841</v>
      </c>
      <c r="E34" s="60">
        <v>94830700</v>
      </c>
      <c r="F34" s="60">
        <v>85347630</v>
      </c>
      <c r="G34" s="60">
        <v>-28449211.400000006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8" x14ac:dyDescent="0.25">
      <c r="A37" s="53" t="s">
        <v>243</v>
      </c>
      <c r="B37" s="60">
        <v>0</v>
      </c>
      <c r="C37" s="60">
        <v>3476946.44</v>
      </c>
      <c r="D37" s="60">
        <v>3476946.44</v>
      </c>
      <c r="E37" s="60">
        <v>3186741.85</v>
      </c>
      <c r="F37" s="60">
        <v>3186741.85</v>
      </c>
      <c r="G37" s="60">
        <v>3186741.85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</row>
    <row r="39" spans="1:8" x14ac:dyDescent="0.25">
      <c r="A39" s="63" t="s">
        <v>245</v>
      </c>
      <c r="B39" s="60">
        <v>0</v>
      </c>
      <c r="C39" s="60">
        <v>3476946.44</v>
      </c>
      <c r="D39" s="60">
        <v>3476946.44</v>
      </c>
      <c r="E39" s="60">
        <v>3186741.85</v>
      </c>
      <c r="F39" s="60">
        <v>3186741.85</v>
      </c>
      <c r="G39" s="60">
        <v>3186741.85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129663403.55</v>
      </c>
      <c r="C41" s="61">
        <f t="shared" ref="C41:E41" si="2">SUM(C9,C10,C11,C12,C13,C14,C15,C16,C28,C34,C35,C37)</f>
        <v>8530978.120000001</v>
      </c>
      <c r="D41" s="61">
        <f t="shared" si="2"/>
        <v>138194381.67000002</v>
      </c>
      <c r="E41" s="61">
        <f t="shared" si="2"/>
        <v>107682076.83999999</v>
      </c>
      <c r="F41" s="61">
        <f>SUM(F9,F10,F11,F12,F13,F14,F15,F16,F28,F34,F35,F37)</f>
        <v>97601837.839999989</v>
      </c>
      <c r="G41" s="61">
        <f>SUM(G9,G10,G11,G12,G13,G14,G15,G16,G28,G34,G35,G37)</f>
        <v>-35317392.110000007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f t="shared" ref="G45" si="3">SUM(G46:G53)</f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4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4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4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4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4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4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4"/>
        <v>0</v>
      </c>
    </row>
    <row r="54" spans="1:7" x14ac:dyDescent="0.25">
      <c r="A54" s="53" t="s">
        <v>257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  <c r="G54" s="60">
        <f t="shared" ref="G54" si="5">SUM(G55:G58)</f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6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6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6"/>
        <v>0</v>
      </c>
    </row>
    <row r="59" spans="1:7" x14ac:dyDescent="0.25">
      <c r="A59" s="53" t="s">
        <v>262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f t="shared" ref="G59" si="7">SUM(G60:G61)</f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9">C68</f>
        <v>0</v>
      </c>
      <c r="D67" s="61">
        <f t="shared" si="9"/>
        <v>0</v>
      </c>
      <c r="E67" s="61">
        <f t="shared" si="9"/>
        <v>0</v>
      </c>
      <c r="F67" s="61">
        <f t="shared" si="9"/>
        <v>0</v>
      </c>
      <c r="G67" s="61">
        <f t="shared" si="9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129663403.55</v>
      </c>
      <c r="C70" s="61">
        <f t="shared" ref="C70:G70" si="10">C41+C65+C67</f>
        <v>8530978.120000001</v>
      </c>
      <c r="D70" s="61">
        <f t="shared" si="10"/>
        <v>138194381.67000002</v>
      </c>
      <c r="E70" s="61">
        <f t="shared" si="10"/>
        <v>107682076.83999999</v>
      </c>
      <c r="F70" s="61">
        <f t="shared" si="10"/>
        <v>97601837.839999989</v>
      </c>
      <c r="G70" s="61">
        <f t="shared" si="10"/>
        <v>-35317392.110000007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129663403.95</v>
      </c>
      <c r="C73" s="60">
        <v>8530978.120000001</v>
      </c>
      <c r="D73" s="60">
        <v>138194381.67000002</v>
      </c>
      <c r="E73" s="60">
        <v>107682076.83999999</v>
      </c>
      <c r="F73" s="60">
        <v>97601837.839999989</v>
      </c>
      <c r="G73" s="60">
        <v>-35317392.110000007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</row>
    <row r="75" spans="1:7" x14ac:dyDescent="0.25">
      <c r="A75" s="120" t="s">
        <v>274</v>
      </c>
      <c r="B75" s="61">
        <f>B73+B74</f>
        <v>129663403.95</v>
      </c>
      <c r="C75" s="61">
        <f t="shared" ref="C75:G75" si="11">C73+C74</f>
        <v>8530978.120000001</v>
      </c>
      <c r="D75" s="61">
        <f t="shared" si="11"/>
        <v>138194381.67000002</v>
      </c>
      <c r="E75" s="61">
        <f t="shared" si="11"/>
        <v>107682076.83999999</v>
      </c>
      <c r="F75" s="61">
        <f t="shared" si="11"/>
        <v>97601837.839999989</v>
      </c>
      <c r="G75" s="61">
        <f t="shared" si="11"/>
        <v>-35317392.110000007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7041843.5099999998</v>
      </c>
      <c r="Q6" s="18">
        <f>'Formato 5'!C12</f>
        <v>0</v>
      </c>
      <c r="R6" s="18">
        <f>'Formato 5'!D12</f>
        <v>7041843.5099999998</v>
      </c>
      <c r="S6" s="18">
        <f>'Formato 5'!E12</f>
        <v>1763348</v>
      </c>
      <c r="T6" s="18">
        <f>'Formato 5'!F12</f>
        <v>1763349</v>
      </c>
      <c r="U6" s="18">
        <f>'Formato 5'!G12</f>
        <v>-5278494.51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4436891.6100000003</v>
      </c>
      <c r="Q7" s="18">
        <f>'Formato 5'!C13</f>
        <v>0</v>
      </c>
      <c r="R7" s="18">
        <f>'Formato 5'!D13</f>
        <v>4436891.6100000003</v>
      </c>
      <c r="S7" s="18">
        <f>'Formato 5'!E13</f>
        <v>2322180.4500000002</v>
      </c>
      <c r="T7" s="18">
        <f>'Formato 5'!F13</f>
        <v>2322180.4500000002</v>
      </c>
      <c r="U7" s="18">
        <f>'Formato 5'!G13</f>
        <v>-2114711.16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4387827.43</v>
      </c>
      <c r="Q8" s="18">
        <f>'Formato 5'!C14</f>
        <v>1798205.6800000016</v>
      </c>
      <c r="R8" s="18">
        <f>'Formato 5'!D14</f>
        <v>6186033.1100000013</v>
      </c>
      <c r="S8" s="18">
        <f>'Formato 5'!E14</f>
        <v>1726110.54</v>
      </c>
      <c r="T8" s="18">
        <f>'Formato 5'!F14</f>
        <v>1726110.54</v>
      </c>
      <c r="U8" s="18">
        <f>'Formato 5'!G14</f>
        <v>-2661716.8899999997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3255826</v>
      </c>
      <c r="R10" s="18">
        <f>'Formato 5'!D16</f>
        <v>3255826</v>
      </c>
      <c r="S10" s="18">
        <f>'Formato 5'!E16</f>
        <v>3852996</v>
      </c>
      <c r="T10" s="18">
        <f>'Formato 5'!F16</f>
        <v>3255826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3255826</v>
      </c>
      <c r="R11" s="18">
        <f>'Formato 5'!D17</f>
        <v>3255826</v>
      </c>
      <c r="S11" s="18">
        <f>'Formato 5'!E17</f>
        <v>3852996</v>
      </c>
      <c r="T11" s="18">
        <f>'Formato 5'!F17</f>
        <v>3255826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113796841</v>
      </c>
      <c r="Q28" s="18">
        <f>'Formato 5'!C34</f>
        <v>0</v>
      </c>
      <c r="R28" s="18">
        <f>'Formato 5'!D34</f>
        <v>113796841</v>
      </c>
      <c r="S28" s="18">
        <f>'Formato 5'!E34</f>
        <v>94830700</v>
      </c>
      <c r="T28" s="18">
        <f>'Formato 5'!F34</f>
        <v>85347630</v>
      </c>
      <c r="U28" s="18">
        <f>'Formato 5'!G34</f>
        <v>-28449211.400000006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3476946.44</v>
      </c>
      <c r="R31" s="18">
        <f>'Formato 5'!D37</f>
        <v>3476946.44</v>
      </c>
      <c r="S31" s="18">
        <f>'Formato 5'!E37</f>
        <v>3186741.85</v>
      </c>
      <c r="T31" s="18">
        <f>'Formato 5'!F37</f>
        <v>3186741.85</v>
      </c>
      <c r="U31" s="18">
        <f>'Formato 5'!G37</f>
        <v>3186741.85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3476946.44</v>
      </c>
      <c r="R33" s="18">
        <f>'Formato 5'!D39</f>
        <v>3476946.44</v>
      </c>
      <c r="S33" s="18">
        <f>'Formato 5'!E39</f>
        <v>3186741.85</v>
      </c>
      <c r="T33" s="18">
        <f>'Formato 5'!F39</f>
        <v>3186741.85</v>
      </c>
      <c r="U33" s="18">
        <f>'Formato 5'!G39</f>
        <v>3186741.85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129663403.55</v>
      </c>
      <c r="Q34">
        <f>'Formato 5'!C41</f>
        <v>8530978.120000001</v>
      </c>
      <c r="R34">
        <f>'Formato 5'!D41</f>
        <v>138194381.67000002</v>
      </c>
      <c r="S34">
        <f>'Formato 5'!E41</f>
        <v>107682076.83999999</v>
      </c>
      <c r="T34">
        <f>'Formato 5'!F41</f>
        <v>97601837.839999989</v>
      </c>
      <c r="U34">
        <f>'Formato 5'!G41</f>
        <v>-35317392.110000007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129663403.95</v>
      </c>
      <c r="Q60">
        <f>'Formato 5'!C73</f>
        <v>8530978.120000001</v>
      </c>
      <c r="R60">
        <f>'Formato 5'!D73</f>
        <v>138194381.67000002</v>
      </c>
      <c r="S60">
        <f>'Formato 5'!E73</f>
        <v>107682076.83999999</v>
      </c>
      <c r="T60">
        <f>'Formato 5'!F73</f>
        <v>97601837.839999989</v>
      </c>
      <c r="U60">
        <f>'Formato 5'!G73</f>
        <v>-35317392.110000007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129663403.95</v>
      </c>
      <c r="Q62">
        <f>'Formato 5'!C75</f>
        <v>8530978.120000001</v>
      </c>
      <c r="R62">
        <f>'Formato 5'!D75</f>
        <v>138194381.67000002</v>
      </c>
      <c r="S62">
        <f>'Formato 5'!E75</f>
        <v>107682076.83999999</v>
      </c>
      <c r="T62">
        <f>'Formato 5'!F75</f>
        <v>97601837.839999989</v>
      </c>
      <c r="U62">
        <f>'Formato 5'!G75</f>
        <v>-35317392.110000007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tabSelected="1" zoomScale="80" zoomScaleNormal="80" zoomScalePageLayoutView="90" workbookViewId="0">
      <selection activeCell="A3" sqref="C3:D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3" t="s">
        <v>3285</v>
      </c>
      <c r="B1" s="172"/>
      <c r="C1" s="172"/>
      <c r="D1" s="172"/>
      <c r="E1" s="172"/>
      <c r="F1" s="172"/>
      <c r="G1" s="172"/>
    </row>
    <row r="2" spans="1:7" ht="14.25" x14ac:dyDescent="0.45">
      <c r="A2" s="176" t="str">
        <f>ENTE_PUBLICO_A</f>
        <v>Sistema para el Desarrollo Integral de la Familia en el Municipio de Leon Guanajuato, Gobierno del Estado de Guanajuato (a)</v>
      </c>
      <c r="B2" s="176"/>
      <c r="C2" s="176"/>
      <c r="D2" s="176"/>
      <c r="E2" s="176"/>
      <c r="F2" s="176"/>
      <c r="G2" s="176"/>
    </row>
    <row r="3" spans="1:7" x14ac:dyDescent="0.25">
      <c r="A3" s="177" t="s">
        <v>277</v>
      </c>
      <c r="B3" s="177"/>
      <c r="C3" s="177"/>
      <c r="D3" s="177"/>
      <c r="E3" s="177"/>
      <c r="F3" s="177"/>
      <c r="G3" s="177"/>
    </row>
    <row r="4" spans="1:7" x14ac:dyDescent="0.25">
      <c r="A4" s="177" t="s">
        <v>278</v>
      </c>
      <c r="B4" s="177"/>
      <c r="C4" s="177"/>
      <c r="D4" s="177"/>
      <c r="E4" s="177"/>
      <c r="F4" s="177"/>
      <c r="G4" s="177"/>
    </row>
    <row r="5" spans="1:7" ht="14.25" x14ac:dyDescent="0.45">
      <c r="A5" s="178" t="str">
        <f>TRIMESTRE</f>
        <v>Del 1 de enero al 30 de septiembre de 2020 (b)</v>
      </c>
      <c r="B5" s="178"/>
      <c r="C5" s="178"/>
      <c r="D5" s="178"/>
      <c r="E5" s="178"/>
      <c r="F5" s="178"/>
      <c r="G5" s="178"/>
    </row>
    <row r="6" spans="1:7" ht="14.25" x14ac:dyDescent="0.45">
      <c r="A6" s="170" t="s">
        <v>118</v>
      </c>
      <c r="B6" s="170"/>
      <c r="C6" s="170"/>
      <c r="D6" s="170"/>
      <c r="E6" s="170"/>
      <c r="F6" s="170"/>
      <c r="G6" s="170"/>
    </row>
    <row r="7" spans="1:7" ht="15" customHeight="1" x14ac:dyDescent="0.25">
      <c r="A7" s="174" t="s">
        <v>0</v>
      </c>
      <c r="B7" s="174" t="s">
        <v>279</v>
      </c>
      <c r="C7" s="174"/>
      <c r="D7" s="174"/>
      <c r="E7" s="174"/>
      <c r="F7" s="174"/>
      <c r="G7" s="175" t="s">
        <v>280</v>
      </c>
    </row>
    <row r="8" spans="1:7" ht="30" x14ac:dyDescent="0.25">
      <c r="A8" s="174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4"/>
    </row>
    <row r="9" spans="1:7" x14ac:dyDescent="0.25">
      <c r="A9" s="82" t="s">
        <v>285</v>
      </c>
      <c r="B9" s="79">
        <f>SUM(B10,B18,B28,B38,B48,B58,B62,B71,B75)</f>
        <v>129663403.99999999</v>
      </c>
      <c r="C9" s="79">
        <f t="shared" ref="C9:G9" si="0">SUM(C10,C18,C28,C38,C48,C58,C62,C71,C75)</f>
        <v>1641547.8999999966</v>
      </c>
      <c r="D9" s="79">
        <f t="shared" si="0"/>
        <v>131304951.89999998</v>
      </c>
      <c r="E9" s="79">
        <f t="shared" si="0"/>
        <v>90547771.460000008</v>
      </c>
      <c r="F9" s="79">
        <f t="shared" si="0"/>
        <v>90545656.930000007</v>
      </c>
      <c r="G9" s="79">
        <f t="shared" si="0"/>
        <v>68111249.739999995</v>
      </c>
    </row>
    <row r="10" spans="1:7" x14ac:dyDescent="0.25">
      <c r="A10" s="83" t="s">
        <v>286</v>
      </c>
      <c r="B10" s="80">
        <f>SUM(B11:B17)</f>
        <v>105412830.21999998</v>
      </c>
      <c r="C10" s="80">
        <f t="shared" ref="C10:F10" si="1">SUM(C11:C17)</f>
        <v>-1.862645149230957E-9</v>
      </c>
      <c r="D10" s="80">
        <f t="shared" si="1"/>
        <v>105412830.21999998</v>
      </c>
      <c r="E10" s="80">
        <f t="shared" si="1"/>
        <v>76224212.340000004</v>
      </c>
      <c r="F10" s="80">
        <f t="shared" si="1"/>
        <v>76224212.340000004</v>
      </c>
      <c r="G10" s="80">
        <f>SUM(G11:G17)</f>
        <v>56542687.179999992</v>
      </c>
    </row>
    <row r="11" spans="1:7" x14ac:dyDescent="0.25">
      <c r="A11" s="84" t="s">
        <v>287</v>
      </c>
      <c r="B11" s="80">
        <v>71271403.579999998</v>
      </c>
      <c r="C11" s="80">
        <v>-84500</v>
      </c>
      <c r="D11" s="80">
        <v>71186903.579999998</v>
      </c>
      <c r="E11" s="80">
        <v>51612861.860000007</v>
      </c>
      <c r="F11" s="80">
        <v>51612861.860000007</v>
      </c>
      <c r="G11" s="80">
        <v>38726940.879999995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</row>
    <row r="13" spans="1:7" x14ac:dyDescent="0.25">
      <c r="A13" s="84" t="s">
        <v>289</v>
      </c>
      <c r="B13" s="80">
        <v>9252708.2700000014</v>
      </c>
      <c r="C13" s="80">
        <v>84499.999999998137</v>
      </c>
      <c r="D13" s="80">
        <v>9337208.2699999996</v>
      </c>
      <c r="E13" s="80">
        <v>7109177.1999999983</v>
      </c>
      <c r="F13" s="80">
        <v>7109177.1999999983</v>
      </c>
      <c r="G13" s="80">
        <v>4404428.2800000021</v>
      </c>
    </row>
    <row r="14" spans="1:7" x14ac:dyDescent="0.25">
      <c r="A14" s="84" t="s">
        <v>290</v>
      </c>
      <c r="B14" s="80">
        <v>15888705.789999999</v>
      </c>
      <c r="C14" s="80">
        <v>-60000</v>
      </c>
      <c r="D14" s="80">
        <v>15828705.789999999</v>
      </c>
      <c r="E14" s="80">
        <v>11307152.760000002</v>
      </c>
      <c r="F14" s="80">
        <v>11307152.760000002</v>
      </c>
      <c r="G14" s="80">
        <v>8577605.3999999985</v>
      </c>
    </row>
    <row r="15" spans="1:7" x14ac:dyDescent="0.25">
      <c r="A15" s="84" t="s">
        <v>291</v>
      </c>
      <c r="B15" s="80">
        <v>9000012.5800000001</v>
      </c>
      <c r="C15" s="80">
        <v>60000</v>
      </c>
      <c r="D15" s="80">
        <v>9060012.5800000001</v>
      </c>
      <c r="E15" s="80">
        <v>6195020.5199999996</v>
      </c>
      <c r="F15" s="80">
        <v>6195020.5199999996</v>
      </c>
      <c r="G15" s="80">
        <v>4833712.620000001</v>
      </c>
    </row>
    <row r="16" spans="1:7" x14ac:dyDescent="0.2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5">
      <c r="A18" s="83" t="s">
        <v>294</v>
      </c>
      <c r="B18" s="80">
        <f>SUM(B19:B27)</f>
        <v>4438024.7</v>
      </c>
      <c r="C18" s="80">
        <f t="shared" ref="C18:F18" si="2">SUM(C19:C27)</f>
        <v>388010.37999999966</v>
      </c>
      <c r="D18" s="80">
        <f t="shared" si="2"/>
        <v>4826035.080000001</v>
      </c>
      <c r="E18" s="80">
        <f t="shared" si="2"/>
        <v>2803312.6399999992</v>
      </c>
      <c r="F18" s="80">
        <f t="shared" si="2"/>
        <v>2802157.9099999992</v>
      </c>
      <c r="G18" s="80">
        <f>SUM(G19:G27)</f>
        <v>2022722.4400000011</v>
      </c>
    </row>
    <row r="19" spans="1:7" x14ac:dyDescent="0.25">
      <c r="A19" s="84" t="s">
        <v>295</v>
      </c>
      <c r="B19" s="80">
        <v>1024599.9800000002</v>
      </c>
      <c r="C19" s="80">
        <v>4504.0299999997951</v>
      </c>
      <c r="D19" s="80">
        <v>1029104.01</v>
      </c>
      <c r="E19" s="80">
        <v>526558.36999999965</v>
      </c>
      <c r="F19" s="80">
        <v>526558.36999999965</v>
      </c>
      <c r="G19" s="80">
        <v>502545.64000000036</v>
      </c>
    </row>
    <row r="20" spans="1:7" x14ac:dyDescent="0.25">
      <c r="A20" s="84" t="s">
        <v>296</v>
      </c>
      <c r="B20" s="80">
        <v>764999.95000000007</v>
      </c>
      <c r="C20" s="80">
        <v>20221.849999999977</v>
      </c>
      <c r="D20" s="80">
        <v>785221.8</v>
      </c>
      <c r="E20" s="80">
        <v>592018.5</v>
      </c>
      <c r="F20" s="80">
        <v>590863.7699999999</v>
      </c>
      <c r="G20" s="80">
        <v>193203.30000000005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5">
      <c r="A22" s="84" t="s">
        <v>298</v>
      </c>
      <c r="B22" s="80">
        <v>623749.69000000006</v>
      </c>
      <c r="C22" s="80">
        <v>354690.86</v>
      </c>
      <c r="D22" s="80">
        <v>978440.55</v>
      </c>
      <c r="E22" s="80">
        <v>670431.39999999991</v>
      </c>
      <c r="F22" s="80">
        <v>670431.39999999991</v>
      </c>
      <c r="G22" s="80">
        <v>308009.15000000014</v>
      </c>
    </row>
    <row r="23" spans="1:7" x14ac:dyDescent="0.25">
      <c r="A23" s="84" t="s">
        <v>299</v>
      </c>
      <c r="B23" s="80">
        <v>199999.96000000002</v>
      </c>
      <c r="C23" s="80">
        <v>13381.769999999844</v>
      </c>
      <c r="D23" s="80">
        <v>213381.72999999986</v>
      </c>
      <c r="E23" s="80">
        <v>156806.76</v>
      </c>
      <c r="F23" s="80">
        <v>156806.76</v>
      </c>
      <c r="G23" s="80">
        <v>56574.969999999856</v>
      </c>
    </row>
    <row r="24" spans="1:7" x14ac:dyDescent="0.25">
      <c r="A24" s="84" t="s">
        <v>300</v>
      </c>
      <c r="B24" s="80">
        <v>1622509.8700000003</v>
      </c>
      <c r="C24" s="80">
        <v>-22500</v>
      </c>
      <c r="D24" s="80">
        <v>1600009.8700000003</v>
      </c>
      <c r="E24" s="80">
        <v>752627.33</v>
      </c>
      <c r="F24" s="80">
        <v>752627.33</v>
      </c>
      <c r="G24" s="80">
        <v>847382.54000000039</v>
      </c>
    </row>
    <row r="25" spans="1:7" x14ac:dyDescent="0.25">
      <c r="A25" s="84" t="s">
        <v>301</v>
      </c>
      <c r="B25" s="80">
        <v>28665.41</v>
      </c>
      <c r="C25" s="80">
        <v>-1676</v>
      </c>
      <c r="D25" s="80">
        <v>26989.41</v>
      </c>
      <c r="E25" s="80">
        <v>9513.0899999999965</v>
      </c>
      <c r="F25" s="80">
        <v>9513.0899999999965</v>
      </c>
      <c r="G25" s="80">
        <v>17476.320000000003</v>
      </c>
    </row>
    <row r="26" spans="1:7" x14ac:dyDescent="0.25">
      <c r="A26" s="84" t="s">
        <v>302</v>
      </c>
      <c r="B26" s="80"/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25">
      <c r="A27" s="84" t="s">
        <v>303</v>
      </c>
      <c r="B27" s="80">
        <v>173499.83999999997</v>
      </c>
      <c r="C27" s="80">
        <v>19387.870000000054</v>
      </c>
      <c r="D27" s="80">
        <v>192887.71000000002</v>
      </c>
      <c r="E27" s="80">
        <v>95357.19</v>
      </c>
      <c r="F27" s="80">
        <v>95357.19</v>
      </c>
      <c r="G27" s="80">
        <v>97530.520000000019</v>
      </c>
    </row>
    <row r="28" spans="1:7" x14ac:dyDescent="0.25">
      <c r="A28" s="83" t="s">
        <v>304</v>
      </c>
      <c r="B28" s="80">
        <f>SUM(B29:B37)</f>
        <v>16522549.079999998</v>
      </c>
      <c r="C28" s="80">
        <f t="shared" ref="C28:G28" si="3">SUM(C29:C37)</f>
        <v>-108927.97000000172</v>
      </c>
      <c r="D28" s="80">
        <f t="shared" si="3"/>
        <v>16413621.109999999</v>
      </c>
      <c r="E28" s="80">
        <f t="shared" si="3"/>
        <v>8726408.0099999998</v>
      </c>
      <c r="F28" s="80">
        <f t="shared" si="3"/>
        <v>8726180.7100000009</v>
      </c>
      <c r="G28" s="80">
        <f t="shared" si="3"/>
        <v>7687213.0999999968</v>
      </c>
    </row>
    <row r="29" spans="1:7" x14ac:dyDescent="0.25">
      <c r="A29" s="84" t="s">
        <v>305</v>
      </c>
      <c r="B29" s="80">
        <v>1616420</v>
      </c>
      <c r="C29" s="80">
        <v>-60747.920000000158</v>
      </c>
      <c r="D29" s="80">
        <v>1555672.0799999998</v>
      </c>
      <c r="E29" s="80">
        <v>988582.90000000014</v>
      </c>
      <c r="F29" s="80">
        <v>988582.90000000014</v>
      </c>
      <c r="G29" s="80">
        <v>567089.1799999997</v>
      </c>
    </row>
    <row r="30" spans="1:7" x14ac:dyDescent="0.25">
      <c r="A30" s="84" t="s">
        <v>306</v>
      </c>
      <c r="B30" s="80">
        <v>97500</v>
      </c>
      <c r="C30" s="80">
        <v>2000</v>
      </c>
      <c r="D30" s="80">
        <v>99500</v>
      </c>
      <c r="E30" s="80">
        <v>49338.229999999996</v>
      </c>
      <c r="F30" s="80">
        <v>49338.229999999996</v>
      </c>
      <c r="G30" s="80">
        <v>50161.770000000004</v>
      </c>
    </row>
    <row r="31" spans="1:7" x14ac:dyDescent="0.25">
      <c r="A31" s="84" t="s">
        <v>307</v>
      </c>
      <c r="B31" s="80">
        <v>5241000</v>
      </c>
      <c r="C31" s="80">
        <v>192522.44999999925</v>
      </c>
      <c r="D31" s="80">
        <v>5433522.4499999993</v>
      </c>
      <c r="E31" s="80">
        <v>3680394.8800000004</v>
      </c>
      <c r="F31" s="80">
        <v>3680394.8800000004</v>
      </c>
      <c r="G31" s="80">
        <v>1753127.5699999989</v>
      </c>
    </row>
    <row r="32" spans="1:7" x14ac:dyDescent="0.25">
      <c r="A32" s="84" t="s">
        <v>308</v>
      </c>
      <c r="B32" s="80">
        <v>382500.63</v>
      </c>
      <c r="C32" s="80">
        <v>60000.000000000058</v>
      </c>
      <c r="D32" s="80">
        <v>442500.63000000006</v>
      </c>
      <c r="E32" s="80">
        <v>412980.05000000005</v>
      </c>
      <c r="F32" s="80">
        <v>412980.05000000005</v>
      </c>
      <c r="G32" s="80">
        <v>29520.580000000016</v>
      </c>
    </row>
    <row r="33" spans="1:7" x14ac:dyDescent="0.25">
      <c r="A33" s="84" t="s">
        <v>309</v>
      </c>
      <c r="B33" s="80">
        <v>4387199.9999999991</v>
      </c>
      <c r="C33" s="80">
        <v>-178169.19000000041</v>
      </c>
      <c r="D33" s="80">
        <v>4209030.8099999987</v>
      </c>
      <c r="E33" s="80">
        <v>1856718.7600000002</v>
      </c>
      <c r="F33" s="80">
        <v>1856718.7600000002</v>
      </c>
      <c r="G33" s="80">
        <v>2352312.0499999984</v>
      </c>
    </row>
    <row r="34" spans="1:7" x14ac:dyDescent="0.25">
      <c r="A34" s="84" t="s">
        <v>310</v>
      </c>
      <c r="B34" s="80">
        <v>260000</v>
      </c>
      <c r="C34" s="80">
        <v>-17718.75</v>
      </c>
      <c r="D34" s="80">
        <v>242281.25</v>
      </c>
      <c r="E34" s="80">
        <v>13920</v>
      </c>
      <c r="F34" s="80">
        <v>13920</v>
      </c>
      <c r="G34" s="80">
        <v>228361.25</v>
      </c>
    </row>
    <row r="35" spans="1:7" x14ac:dyDescent="0.25">
      <c r="A35" s="84" t="s">
        <v>311</v>
      </c>
      <c r="B35" s="80">
        <v>333880.00000000006</v>
      </c>
      <c r="C35" s="80">
        <v>42231.639999999956</v>
      </c>
      <c r="D35" s="80">
        <v>376111.64</v>
      </c>
      <c r="E35" s="80">
        <v>174230.07</v>
      </c>
      <c r="F35" s="80">
        <v>174230.07</v>
      </c>
      <c r="G35" s="80">
        <v>201881.57</v>
      </c>
    </row>
    <row r="36" spans="1:7" x14ac:dyDescent="0.25">
      <c r="A36" s="84" t="s">
        <v>312</v>
      </c>
      <c r="B36" s="80">
        <v>2208500</v>
      </c>
      <c r="C36" s="80">
        <v>-131746.20000000019</v>
      </c>
      <c r="D36" s="80">
        <v>2076753.7999999998</v>
      </c>
      <c r="E36" s="80">
        <v>277568.13</v>
      </c>
      <c r="F36" s="80">
        <v>277340.83</v>
      </c>
      <c r="G36" s="80">
        <v>1799185.67</v>
      </c>
    </row>
    <row r="37" spans="1:7" x14ac:dyDescent="0.25">
      <c r="A37" s="84" t="s">
        <v>313</v>
      </c>
      <c r="B37" s="80">
        <v>1995548.4500000002</v>
      </c>
      <c r="C37" s="80">
        <v>-17300.000000000233</v>
      </c>
      <c r="D37" s="80">
        <v>1978248.45</v>
      </c>
      <c r="E37" s="80">
        <v>1272674.9899999998</v>
      </c>
      <c r="F37" s="80">
        <v>1272674.9899999998</v>
      </c>
      <c r="G37" s="80">
        <v>705573.4600000002</v>
      </c>
    </row>
    <row r="38" spans="1:7" x14ac:dyDescent="0.25">
      <c r="A38" s="83" t="s">
        <v>314</v>
      </c>
      <c r="B38" s="80">
        <f>SUM(B39:B47)</f>
        <v>3099999.9999999995</v>
      </c>
      <c r="C38" s="80">
        <f t="shared" ref="C38:G38" si="4">SUM(C39:C47)</f>
        <v>1343885.4900000007</v>
      </c>
      <c r="D38" s="80">
        <f t="shared" si="4"/>
        <v>4443885.49</v>
      </c>
      <c r="E38" s="80">
        <f t="shared" si="4"/>
        <v>2718994.4800000004</v>
      </c>
      <c r="F38" s="80">
        <f t="shared" si="4"/>
        <v>2718261.98</v>
      </c>
      <c r="G38" s="80">
        <f t="shared" si="4"/>
        <v>1724891.0099999998</v>
      </c>
    </row>
    <row r="39" spans="1:7" x14ac:dyDescent="0.25">
      <c r="A39" s="84" t="s">
        <v>315</v>
      </c>
      <c r="B39" s="80"/>
      <c r="C39" s="80">
        <v>0</v>
      </c>
      <c r="D39" s="80"/>
      <c r="E39" s="80"/>
      <c r="F39" s="80"/>
      <c r="G39" s="80">
        <v>0</v>
      </c>
    </row>
    <row r="40" spans="1:7" x14ac:dyDescent="0.25">
      <c r="A40" s="84" t="s">
        <v>316</v>
      </c>
      <c r="B40" s="80"/>
      <c r="C40" s="80">
        <v>0</v>
      </c>
      <c r="D40" s="80">
        <v>0</v>
      </c>
      <c r="E40" s="80">
        <v>0</v>
      </c>
      <c r="F40" s="80">
        <v>0</v>
      </c>
      <c r="G40" s="80">
        <v>0</v>
      </c>
    </row>
    <row r="41" spans="1:7" x14ac:dyDescent="0.25">
      <c r="A41" s="84" t="s">
        <v>317</v>
      </c>
      <c r="B41" s="80"/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1:7" x14ac:dyDescent="0.25">
      <c r="A42" s="84" t="s">
        <v>318</v>
      </c>
      <c r="B42" s="80">
        <v>3099999.9999999995</v>
      </c>
      <c r="C42" s="80">
        <v>1343885.4900000007</v>
      </c>
      <c r="D42" s="80">
        <v>4443885.49</v>
      </c>
      <c r="E42" s="80">
        <v>2718994.4800000004</v>
      </c>
      <c r="F42" s="80">
        <v>2718261.98</v>
      </c>
      <c r="G42" s="80">
        <v>1724891.0099999998</v>
      </c>
    </row>
    <row r="43" spans="1:7" x14ac:dyDescent="0.25">
      <c r="A43" s="84" t="s">
        <v>319</v>
      </c>
      <c r="B43" s="80"/>
      <c r="C43" s="80">
        <v>0</v>
      </c>
      <c r="D43" s="80">
        <v>0</v>
      </c>
      <c r="E43" s="80">
        <v>0</v>
      </c>
      <c r="F43" s="80">
        <v>0</v>
      </c>
      <c r="G43" s="80">
        <v>0</v>
      </c>
    </row>
    <row r="44" spans="1:7" x14ac:dyDescent="0.25">
      <c r="A44" s="84" t="s">
        <v>320</v>
      </c>
      <c r="B44" s="80"/>
      <c r="C44" s="80">
        <v>0</v>
      </c>
      <c r="D44" s="80">
        <v>0</v>
      </c>
      <c r="E44" s="80">
        <v>0</v>
      </c>
      <c r="F44" s="80">
        <v>0</v>
      </c>
      <c r="G44" s="80">
        <v>0</v>
      </c>
    </row>
    <row r="45" spans="1:7" x14ac:dyDescent="0.25">
      <c r="A45" s="84" t="s">
        <v>321</v>
      </c>
      <c r="B45" s="80"/>
      <c r="C45" s="80">
        <v>0</v>
      </c>
      <c r="D45" s="80">
        <v>0</v>
      </c>
      <c r="E45" s="80">
        <v>0</v>
      </c>
      <c r="F45" s="80">
        <v>0</v>
      </c>
      <c r="G45" s="80">
        <v>0</v>
      </c>
    </row>
    <row r="46" spans="1:7" x14ac:dyDescent="0.25">
      <c r="A46" s="84" t="s">
        <v>322</v>
      </c>
      <c r="B46" s="80"/>
      <c r="C46" s="80">
        <v>0</v>
      </c>
      <c r="D46" s="80">
        <v>0</v>
      </c>
      <c r="E46" s="80">
        <v>0</v>
      </c>
      <c r="F46" s="80">
        <v>0</v>
      </c>
      <c r="G46" s="80">
        <v>0</v>
      </c>
    </row>
    <row r="47" spans="1:7" x14ac:dyDescent="0.25">
      <c r="A47" s="84" t="s">
        <v>323</v>
      </c>
      <c r="B47" s="80"/>
      <c r="C47" s="80">
        <v>0</v>
      </c>
      <c r="D47" s="80">
        <v>0</v>
      </c>
      <c r="E47" s="80">
        <v>0</v>
      </c>
      <c r="F47" s="80">
        <v>0</v>
      </c>
      <c r="G47" s="80">
        <v>0</v>
      </c>
    </row>
    <row r="48" spans="1:7" x14ac:dyDescent="0.25">
      <c r="A48" s="83" t="s">
        <v>324</v>
      </c>
      <c r="B48" s="80">
        <f>SUM(B49:B57)</f>
        <v>190000</v>
      </c>
      <c r="C48" s="80">
        <f t="shared" ref="C48:G48" si="5">SUM(C49:C57)</f>
        <v>18580</v>
      </c>
      <c r="D48" s="80">
        <f t="shared" si="5"/>
        <v>208580</v>
      </c>
      <c r="E48" s="80">
        <f t="shared" si="5"/>
        <v>74843.989999999991</v>
      </c>
      <c r="F48" s="80">
        <f t="shared" si="5"/>
        <v>74843.989999999991</v>
      </c>
      <c r="G48" s="80">
        <f t="shared" si="5"/>
        <v>133736.01</v>
      </c>
    </row>
    <row r="49" spans="1:7" x14ac:dyDescent="0.25">
      <c r="A49" s="84" t="s">
        <v>325</v>
      </c>
      <c r="B49" s="80">
        <v>50000</v>
      </c>
      <c r="C49" s="80">
        <v>36580</v>
      </c>
      <c r="D49" s="80">
        <v>86580</v>
      </c>
      <c r="E49" s="80">
        <v>74843.989999999991</v>
      </c>
      <c r="F49" s="80">
        <v>74843.989999999991</v>
      </c>
      <c r="G49" s="80">
        <v>11736.010000000009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</row>
    <row r="51" spans="1:7" x14ac:dyDescent="0.25">
      <c r="A51" s="84" t="s">
        <v>327</v>
      </c>
      <c r="B51" s="80">
        <v>100000</v>
      </c>
      <c r="C51" s="80">
        <v>0</v>
      </c>
      <c r="D51" s="80">
        <v>100000</v>
      </c>
      <c r="E51" s="80">
        <v>0</v>
      </c>
      <c r="F51" s="80">
        <v>0</v>
      </c>
      <c r="G51" s="80">
        <v>100000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</row>
    <row r="54" spans="1:7" x14ac:dyDescent="0.25">
      <c r="A54" s="84" t="s">
        <v>330</v>
      </c>
      <c r="B54" s="80">
        <v>30000</v>
      </c>
      <c r="C54" s="80">
        <v>-20000</v>
      </c>
      <c r="D54" s="80">
        <v>10000</v>
      </c>
      <c r="E54" s="80">
        <v>0</v>
      </c>
      <c r="F54" s="80">
        <v>0</v>
      </c>
      <c r="G54" s="80">
        <v>10000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25">
      <c r="A57" s="84" t="s">
        <v>333</v>
      </c>
      <c r="B57" s="80">
        <v>10000</v>
      </c>
      <c r="C57" s="80">
        <v>2000</v>
      </c>
      <c r="D57" s="80">
        <v>12000</v>
      </c>
      <c r="E57" s="80">
        <v>0</v>
      </c>
      <c r="F57" s="80">
        <v>0</v>
      </c>
      <c r="G57" s="80">
        <v>12000</v>
      </c>
    </row>
    <row r="58" spans="1:7" x14ac:dyDescent="0.25">
      <c r="A58" s="83" t="s">
        <v>334</v>
      </c>
      <c r="B58" s="80">
        <f>SUM(B59:B61)</f>
        <v>0</v>
      </c>
      <c r="C58" s="80">
        <f t="shared" ref="C58:G58" si="6">SUM(C59:C61)</f>
        <v>0</v>
      </c>
      <c r="D58" s="80">
        <f t="shared" si="6"/>
        <v>0</v>
      </c>
      <c r="E58" s="80">
        <f t="shared" si="6"/>
        <v>0</v>
      </c>
      <c r="F58" s="80">
        <f t="shared" si="6"/>
        <v>0</v>
      </c>
      <c r="G58" s="80">
        <f t="shared" si="6"/>
        <v>0</v>
      </c>
    </row>
    <row r="59" spans="1:7" x14ac:dyDescent="0.25">
      <c r="A59" s="84" t="s">
        <v>335</v>
      </c>
      <c r="B59" s="80">
        <v>0</v>
      </c>
      <c r="C59" s="80">
        <f t="shared" ref="C59:C61" si="7">D59-B59</f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0</v>
      </c>
      <c r="C60" s="80">
        <f t="shared" si="7"/>
        <v>0</v>
      </c>
      <c r="D60" s="80">
        <v>0</v>
      </c>
      <c r="E60" s="80">
        <v>0</v>
      </c>
      <c r="F60" s="80">
        <v>0</v>
      </c>
      <c r="G60" s="80">
        <f t="shared" ref="G60:G61" si="8">D60-E60</f>
        <v>0</v>
      </c>
    </row>
    <row r="61" spans="1:7" x14ac:dyDescent="0.25">
      <c r="A61" s="84" t="s">
        <v>337</v>
      </c>
      <c r="B61" s="80">
        <v>0</v>
      </c>
      <c r="C61" s="80">
        <f t="shared" si="7"/>
        <v>0</v>
      </c>
      <c r="D61" s="80">
        <v>0</v>
      </c>
      <c r="E61" s="80">
        <v>0</v>
      </c>
      <c r="F61" s="80">
        <v>0</v>
      </c>
      <c r="G61" s="80">
        <f t="shared" si="8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9">SUM(C63:C67,C69:C70)</f>
        <v>0</v>
      </c>
      <c r="D62" s="80">
        <f t="shared" si="9"/>
        <v>0</v>
      </c>
      <c r="E62" s="80">
        <f t="shared" si="9"/>
        <v>0</v>
      </c>
      <c r="F62" s="80">
        <f t="shared" si="9"/>
        <v>0</v>
      </c>
      <c r="G62" s="80">
        <f t="shared" si="9"/>
        <v>0</v>
      </c>
    </row>
    <row r="63" spans="1:7" x14ac:dyDescent="0.25">
      <c r="A63" s="84" t="s">
        <v>339</v>
      </c>
      <c r="B63" s="80">
        <v>0</v>
      </c>
      <c r="C63" s="80">
        <f t="shared" ref="C63:C70" si="10">D63-B63</f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f t="shared" si="10"/>
        <v>0</v>
      </c>
      <c r="D64" s="80">
        <v>0</v>
      </c>
      <c r="E64" s="80">
        <v>0</v>
      </c>
      <c r="F64" s="80">
        <v>0</v>
      </c>
      <c r="G64" s="80">
        <f t="shared" ref="G64:G70" si="11">D64-E64</f>
        <v>0</v>
      </c>
    </row>
    <row r="65" spans="1:7" x14ac:dyDescent="0.25">
      <c r="A65" s="84" t="s">
        <v>341</v>
      </c>
      <c r="B65" s="80">
        <v>0</v>
      </c>
      <c r="C65" s="80">
        <f t="shared" si="10"/>
        <v>0</v>
      </c>
      <c r="D65" s="80">
        <v>0</v>
      </c>
      <c r="E65" s="80">
        <v>0</v>
      </c>
      <c r="F65" s="80">
        <v>0</v>
      </c>
      <c r="G65" s="80">
        <f t="shared" si="11"/>
        <v>0</v>
      </c>
    </row>
    <row r="66" spans="1:7" x14ac:dyDescent="0.25">
      <c r="A66" s="84" t="s">
        <v>342</v>
      </c>
      <c r="B66" s="80">
        <v>0</v>
      </c>
      <c r="C66" s="80">
        <f t="shared" si="10"/>
        <v>0</v>
      </c>
      <c r="D66" s="80">
        <v>0</v>
      </c>
      <c r="E66" s="80">
        <v>0</v>
      </c>
      <c r="F66" s="80">
        <v>0</v>
      </c>
      <c r="G66" s="80">
        <f t="shared" si="11"/>
        <v>0</v>
      </c>
    </row>
    <row r="67" spans="1:7" x14ac:dyDescent="0.25">
      <c r="A67" s="84" t="s">
        <v>343</v>
      </c>
      <c r="B67" s="80">
        <v>0</v>
      </c>
      <c r="C67" s="80">
        <f t="shared" si="10"/>
        <v>0</v>
      </c>
      <c r="D67" s="80">
        <v>0</v>
      </c>
      <c r="E67" s="80">
        <v>0</v>
      </c>
      <c r="F67" s="80">
        <v>0</v>
      </c>
      <c r="G67" s="80">
        <f t="shared" si="11"/>
        <v>0</v>
      </c>
    </row>
    <row r="68" spans="1:7" x14ac:dyDescent="0.25">
      <c r="A68" s="84" t="s">
        <v>3301</v>
      </c>
      <c r="B68" s="80">
        <v>0</v>
      </c>
      <c r="C68" s="80">
        <f t="shared" si="10"/>
        <v>0</v>
      </c>
      <c r="D68" s="80">
        <v>0</v>
      </c>
      <c r="E68" s="80">
        <v>0</v>
      </c>
      <c r="F68" s="80">
        <v>0</v>
      </c>
      <c r="G68" s="80">
        <f t="shared" si="11"/>
        <v>0</v>
      </c>
    </row>
    <row r="69" spans="1:7" x14ac:dyDescent="0.25">
      <c r="A69" s="84" t="s">
        <v>345</v>
      </c>
      <c r="B69" s="80">
        <v>0</v>
      </c>
      <c r="C69" s="80">
        <f t="shared" si="10"/>
        <v>0</v>
      </c>
      <c r="D69" s="80">
        <v>0</v>
      </c>
      <c r="E69" s="80">
        <v>0</v>
      </c>
      <c r="F69" s="80">
        <v>0</v>
      </c>
      <c r="G69" s="80">
        <f t="shared" si="11"/>
        <v>0</v>
      </c>
    </row>
    <row r="70" spans="1:7" x14ac:dyDescent="0.25">
      <c r="A70" s="84" t="s">
        <v>346</v>
      </c>
      <c r="B70" s="80">
        <v>0</v>
      </c>
      <c r="C70" s="80">
        <f t="shared" si="10"/>
        <v>0</v>
      </c>
      <c r="D70" s="80">
        <v>0</v>
      </c>
      <c r="E70" s="80">
        <v>0</v>
      </c>
      <c r="F70" s="80">
        <v>0</v>
      </c>
      <c r="G70" s="80">
        <f t="shared" si="11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2">SUM(C72:C74)</f>
        <v>0</v>
      </c>
      <c r="D71" s="80">
        <f t="shared" si="12"/>
        <v>0</v>
      </c>
      <c r="E71" s="80">
        <f t="shared" si="12"/>
        <v>0</v>
      </c>
      <c r="F71" s="80">
        <f t="shared" si="12"/>
        <v>0</v>
      </c>
      <c r="G71" s="80">
        <f t="shared" si="12"/>
        <v>0</v>
      </c>
    </row>
    <row r="72" spans="1:7" x14ac:dyDescent="0.25">
      <c r="A72" s="84" t="s">
        <v>348</v>
      </c>
      <c r="B72" s="80">
        <v>0</v>
      </c>
      <c r="C72" s="80">
        <f t="shared" ref="C72:C74" si="13">D72-B72</f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f t="shared" si="13"/>
        <v>0</v>
      </c>
      <c r="D73" s="80">
        <v>0</v>
      </c>
      <c r="E73" s="80">
        <v>0</v>
      </c>
      <c r="F73" s="80">
        <v>0</v>
      </c>
      <c r="G73" s="80">
        <f t="shared" ref="G73:G74" si="14">D73-E73</f>
        <v>0</v>
      </c>
    </row>
    <row r="74" spans="1:7" x14ac:dyDescent="0.25">
      <c r="A74" s="84" t="s">
        <v>350</v>
      </c>
      <c r="B74" s="80">
        <v>0</v>
      </c>
      <c r="C74" s="80">
        <f t="shared" si="13"/>
        <v>0</v>
      </c>
      <c r="D74" s="80">
        <v>0</v>
      </c>
      <c r="E74" s="80">
        <v>0</v>
      </c>
      <c r="F74" s="80">
        <v>0</v>
      </c>
      <c r="G74" s="80">
        <f t="shared" si="14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5">SUM(C76:C82)</f>
        <v>0</v>
      </c>
      <c r="D75" s="80">
        <f t="shared" si="15"/>
        <v>0</v>
      </c>
      <c r="E75" s="80">
        <f t="shared" si="15"/>
        <v>0</v>
      </c>
      <c r="F75" s="80">
        <f t="shared" si="15"/>
        <v>0</v>
      </c>
      <c r="G75" s="80">
        <f t="shared" si="15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ref="G81:G82" si="16">D81-E81</f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6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7">SUM(C85,C93,C103,C113,C123,C133,C137,C146,C150)</f>
        <v>6889429.7299999995</v>
      </c>
      <c r="D84" s="79">
        <f t="shared" si="17"/>
        <v>6889429.7299999995</v>
      </c>
      <c r="E84" s="79">
        <f t="shared" si="17"/>
        <v>5026200.97</v>
      </c>
      <c r="F84" s="79">
        <f t="shared" si="17"/>
        <v>5024067.68</v>
      </c>
      <c r="G84" s="79">
        <f t="shared" si="17"/>
        <v>1863228.7599999998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8">SUM(C86:C92)</f>
        <v>19782.3</v>
      </c>
      <c r="D85" s="80">
        <f t="shared" si="18"/>
        <v>19782.3</v>
      </c>
      <c r="E85" s="80">
        <f t="shared" si="18"/>
        <v>9428.92</v>
      </c>
      <c r="F85" s="80">
        <f t="shared" si="18"/>
        <v>9428.92</v>
      </c>
      <c r="G85" s="80">
        <f t="shared" si="18"/>
        <v>10353.379999999999</v>
      </c>
    </row>
    <row r="86" spans="1:7" x14ac:dyDescent="0.25">
      <c r="A86" s="84" t="s">
        <v>287</v>
      </c>
      <c r="B86" s="80">
        <v>0</v>
      </c>
      <c r="C86" s="80">
        <v>9428.92</v>
      </c>
      <c r="D86" s="80">
        <v>9428.92</v>
      </c>
      <c r="E86" s="80">
        <v>9428.92</v>
      </c>
      <c r="F86" s="80">
        <v>9428.92</v>
      </c>
      <c r="G86" s="80"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/>
      <c r="E87" s="80">
        <v>0</v>
      </c>
      <c r="F87" s="80">
        <v>0</v>
      </c>
      <c r="G87" s="80">
        <v>0</v>
      </c>
    </row>
    <row r="88" spans="1:7" x14ac:dyDescent="0.25">
      <c r="A88" s="84" t="s">
        <v>289</v>
      </c>
      <c r="B88" s="80">
        <v>0</v>
      </c>
      <c r="C88" s="80">
        <v>10353.379999999999</v>
      </c>
      <c r="D88" s="80">
        <v>10353.379999999999</v>
      </c>
      <c r="E88" s="80">
        <v>0</v>
      </c>
      <c r="F88" s="80">
        <v>0</v>
      </c>
      <c r="G88" s="80">
        <v>10353.379999999999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25">
      <c r="A93" s="83" t="s">
        <v>294</v>
      </c>
      <c r="B93" s="80">
        <v>0</v>
      </c>
      <c r="C93" s="80">
        <v>1624039.8299999998</v>
      </c>
      <c r="D93" s="80">
        <v>1624039.8299999998</v>
      </c>
      <c r="E93" s="80">
        <v>1377460.4000000001</v>
      </c>
      <c r="F93" s="80">
        <v>1377460.4000000001</v>
      </c>
      <c r="G93" s="80">
        <v>246579.4299999997</v>
      </c>
    </row>
    <row r="94" spans="1:7" x14ac:dyDescent="0.25">
      <c r="A94" s="84" t="s">
        <v>295</v>
      </c>
      <c r="B94" s="80">
        <v>0</v>
      </c>
      <c r="C94" s="80">
        <v>619796.51</v>
      </c>
      <c r="D94" s="80">
        <v>619796.51</v>
      </c>
      <c r="E94" s="80">
        <v>611931.81000000006</v>
      </c>
      <c r="F94" s="80">
        <v>611931.81000000006</v>
      </c>
      <c r="G94" s="80">
        <v>7864.6999999999534</v>
      </c>
    </row>
    <row r="95" spans="1:7" x14ac:dyDescent="0.25">
      <c r="A95" s="84" t="s">
        <v>296</v>
      </c>
      <c r="B95" s="80">
        <v>0</v>
      </c>
      <c r="C95" s="80">
        <v>37288.130000000005</v>
      </c>
      <c r="D95" s="80">
        <v>37288.130000000005</v>
      </c>
      <c r="E95" s="80">
        <v>37164.740000000005</v>
      </c>
      <c r="F95" s="80">
        <v>37164.740000000005</v>
      </c>
      <c r="G95" s="80">
        <v>123.38999999999942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</row>
    <row r="97" spans="1:7" x14ac:dyDescent="0.25">
      <c r="A97" s="84" t="s">
        <v>298</v>
      </c>
      <c r="B97" s="80">
        <v>0</v>
      </c>
      <c r="C97" s="80">
        <v>793555.6399999999</v>
      </c>
      <c r="D97" s="80">
        <v>793555.6399999999</v>
      </c>
      <c r="E97" s="80">
        <v>576566.57000000007</v>
      </c>
      <c r="F97" s="80">
        <v>576566.57000000007</v>
      </c>
      <c r="G97" s="80">
        <v>216989.06999999983</v>
      </c>
    </row>
    <row r="98" spans="1:7" x14ac:dyDescent="0.25">
      <c r="A98" s="42" t="s">
        <v>299</v>
      </c>
      <c r="B98" s="80">
        <v>0</v>
      </c>
      <c r="C98" s="80">
        <v>109662.83</v>
      </c>
      <c r="D98" s="80">
        <v>109662.83</v>
      </c>
      <c r="E98" s="80">
        <v>101551.23</v>
      </c>
      <c r="F98" s="80">
        <v>101551.23</v>
      </c>
      <c r="G98" s="80">
        <v>8111.6000000000058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</row>
    <row r="100" spans="1:7" x14ac:dyDescent="0.25">
      <c r="A100" s="84" t="s">
        <v>301</v>
      </c>
      <c r="B100" s="80">
        <v>0</v>
      </c>
      <c r="C100" s="80">
        <v>19107.2</v>
      </c>
      <c r="D100" s="80">
        <v>19107.2</v>
      </c>
      <c r="E100" s="80">
        <v>16436.190000000002</v>
      </c>
      <c r="F100" s="80">
        <v>16436.190000000002</v>
      </c>
      <c r="G100" s="80">
        <v>2671.0099999999984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7" x14ac:dyDescent="0.25">
      <c r="A102" s="84" t="s">
        <v>303</v>
      </c>
      <c r="B102" s="80">
        <v>0</v>
      </c>
      <c r="C102" s="80">
        <v>44629.520000000004</v>
      </c>
      <c r="D102" s="80">
        <v>44629.520000000004</v>
      </c>
      <c r="E102" s="80">
        <v>33809.86</v>
      </c>
      <c r="F102" s="80">
        <v>33809.86</v>
      </c>
      <c r="G102" s="80">
        <v>10819.660000000003</v>
      </c>
    </row>
    <row r="103" spans="1:7" x14ac:dyDescent="0.25">
      <c r="A103" s="83" t="s">
        <v>304</v>
      </c>
      <c r="B103" s="80">
        <f>SUM(B104:B112)</f>
        <v>0</v>
      </c>
      <c r="C103" s="80">
        <v>564230.67000000004</v>
      </c>
      <c r="D103" s="80">
        <v>564230.67000000004</v>
      </c>
      <c r="E103" s="80">
        <v>487825.01999999996</v>
      </c>
      <c r="F103" s="80">
        <v>485691.73</v>
      </c>
      <c r="G103" s="80">
        <v>76405.650000000081</v>
      </c>
    </row>
    <row r="104" spans="1:7" x14ac:dyDescent="0.25">
      <c r="A104" s="84" t="s">
        <v>305</v>
      </c>
      <c r="B104" s="80">
        <v>0</v>
      </c>
      <c r="C104" s="80">
        <v>75240.829999999987</v>
      </c>
      <c r="D104" s="80">
        <v>75240.829999999987</v>
      </c>
      <c r="E104" s="80">
        <v>65915.69</v>
      </c>
      <c r="F104" s="80">
        <v>65915.69</v>
      </c>
      <c r="G104" s="80">
        <v>9325.1399999999849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7" x14ac:dyDescent="0.25">
      <c r="A106" s="84" t="s">
        <v>307</v>
      </c>
      <c r="B106" s="80">
        <v>0</v>
      </c>
      <c r="C106" s="80">
        <v>289579.44</v>
      </c>
      <c r="D106" s="80">
        <v>289579.44</v>
      </c>
      <c r="E106" s="80">
        <v>224632.41</v>
      </c>
      <c r="F106" s="80">
        <v>224632.41</v>
      </c>
      <c r="G106" s="80">
        <v>64947.03</v>
      </c>
    </row>
    <row r="107" spans="1:7" x14ac:dyDescent="0.25">
      <c r="A107" s="84" t="s">
        <v>308</v>
      </c>
      <c r="B107" s="80">
        <v>0</v>
      </c>
      <c r="C107" s="80">
        <v>0</v>
      </c>
      <c r="D107" s="80"/>
      <c r="E107" s="80">
        <v>0</v>
      </c>
      <c r="F107" s="80">
        <v>0</v>
      </c>
      <c r="G107" s="80">
        <v>0</v>
      </c>
    </row>
    <row r="108" spans="1:7" x14ac:dyDescent="0.25">
      <c r="A108" s="84" t="s">
        <v>309</v>
      </c>
      <c r="B108" s="80">
        <v>0</v>
      </c>
      <c r="C108" s="80">
        <v>121066.5</v>
      </c>
      <c r="D108" s="80">
        <v>121066.5</v>
      </c>
      <c r="E108" s="80">
        <v>121066.31</v>
      </c>
      <c r="F108" s="80">
        <v>121066.31</v>
      </c>
      <c r="G108" s="80">
        <v>0.19000000000232831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7" x14ac:dyDescent="0.25">
      <c r="A111" s="84" t="s">
        <v>312</v>
      </c>
      <c r="B111" s="80">
        <v>0</v>
      </c>
      <c r="C111" s="80">
        <v>63800</v>
      </c>
      <c r="D111" s="80">
        <v>63800</v>
      </c>
      <c r="E111" s="80">
        <v>63800</v>
      </c>
      <c r="F111" s="80">
        <v>63800</v>
      </c>
      <c r="G111" s="80">
        <v>0</v>
      </c>
    </row>
    <row r="112" spans="1:7" x14ac:dyDescent="0.25">
      <c r="A112" s="84" t="s">
        <v>313</v>
      </c>
      <c r="B112" s="80">
        <v>0</v>
      </c>
      <c r="C112" s="80">
        <v>14543.9</v>
      </c>
      <c r="D112" s="80">
        <v>14543.9</v>
      </c>
      <c r="E112" s="80">
        <v>12410.61</v>
      </c>
      <c r="F112" s="80">
        <v>10277.32</v>
      </c>
      <c r="G112" s="80">
        <v>2133.2899999999991</v>
      </c>
    </row>
    <row r="113" spans="1:7" x14ac:dyDescent="0.25">
      <c r="A113" s="83" t="s">
        <v>314</v>
      </c>
      <c r="B113" s="80">
        <f>SUM(B114:B122)</f>
        <v>0</v>
      </c>
      <c r="C113" s="80">
        <v>3623482.96</v>
      </c>
      <c r="D113" s="80">
        <v>3623482.96</v>
      </c>
      <c r="E113" s="80">
        <v>2093592.67</v>
      </c>
      <c r="F113" s="80">
        <v>2093592.67</v>
      </c>
      <c r="G113" s="80">
        <v>1529890.29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25">
      <c r="A115" s="84" t="s">
        <v>316</v>
      </c>
      <c r="B115" s="80">
        <v>0</v>
      </c>
      <c r="C115" s="80">
        <v>477510</v>
      </c>
      <c r="D115" s="80">
        <v>477510</v>
      </c>
      <c r="E115" s="80">
        <v>477510</v>
      </c>
      <c r="F115" s="80">
        <v>477510</v>
      </c>
      <c r="G115" s="80"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25">
      <c r="A117" s="84" t="s">
        <v>318</v>
      </c>
      <c r="B117" s="80">
        <v>0</v>
      </c>
      <c r="C117" s="80">
        <v>3145972.96</v>
      </c>
      <c r="D117" s="80">
        <v>3145972.96</v>
      </c>
      <c r="E117" s="80">
        <v>1616082.67</v>
      </c>
      <c r="F117" s="80">
        <v>1616082.67</v>
      </c>
      <c r="G117" s="80">
        <v>1529890.29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25">
      <c r="A123" s="83" t="s">
        <v>324</v>
      </c>
      <c r="B123" s="80">
        <f>SUM(B124:B132)</f>
        <v>0</v>
      </c>
      <c r="C123" s="80">
        <v>783600.91999999993</v>
      </c>
      <c r="D123" s="80">
        <v>783600.91999999993</v>
      </c>
      <c r="E123" s="80">
        <v>783600.90999999992</v>
      </c>
      <c r="F123" s="80">
        <v>783600.90999999992</v>
      </c>
      <c r="G123" s="80">
        <v>1.0000000009313226E-2</v>
      </c>
    </row>
    <row r="124" spans="1:7" x14ac:dyDescent="0.25">
      <c r="A124" s="84" t="s">
        <v>325</v>
      </c>
      <c r="B124" s="80">
        <v>0</v>
      </c>
      <c r="C124" s="80">
        <v>452809</v>
      </c>
      <c r="D124" s="80">
        <v>452809</v>
      </c>
      <c r="E124" s="80">
        <v>452808.99</v>
      </c>
      <c r="F124" s="80">
        <v>452808.99</v>
      </c>
      <c r="G124" s="80">
        <v>1.0000000009313226E-2</v>
      </c>
    </row>
    <row r="125" spans="1:7" x14ac:dyDescent="0.25">
      <c r="A125" s="84" t="s">
        <v>326</v>
      </c>
      <c r="B125" s="80">
        <v>0</v>
      </c>
      <c r="C125" s="80">
        <v>16213.92</v>
      </c>
      <c r="D125" s="80">
        <v>16213.92</v>
      </c>
      <c r="E125" s="80">
        <v>16213.92</v>
      </c>
      <c r="F125" s="80">
        <v>16213.92</v>
      </c>
      <c r="G125" s="80"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25">
      <c r="A129" s="84" t="s">
        <v>330</v>
      </c>
      <c r="B129" s="80">
        <v>0</v>
      </c>
      <c r="C129" s="80">
        <v>314578</v>
      </c>
      <c r="D129" s="80">
        <v>314578</v>
      </c>
      <c r="E129" s="80">
        <v>314578</v>
      </c>
      <c r="F129" s="80">
        <v>314578</v>
      </c>
      <c r="G129" s="80"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25">
      <c r="A133" s="83" t="s">
        <v>334</v>
      </c>
      <c r="B133" s="80">
        <f>SUM(B134:B136)</f>
        <v>0</v>
      </c>
      <c r="C133" s="80">
        <v>274293.05</v>
      </c>
      <c r="D133" s="80">
        <v>274293.05</v>
      </c>
      <c r="E133" s="80">
        <v>274293.05</v>
      </c>
      <c r="F133" s="80">
        <v>274293.05</v>
      </c>
      <c r="G133" s="80"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7" x14ac:dyDescent="0.25">
      <c r="A135" s="84" t="s">
        <v>336</v>
      </c>
      <c r="B135" s="80">
        <v>0</v>
      </c>
      <c r="C135" s="80">
        <v>274293.05</v>
      </c>
      <c r="D135" s="80">
        <v>274293.05</v>
      </c>
      <c r="E135" s="80">
        <v>274293.05</v>
      </c>
      <c r="F135" s="80">
        <v>274293.05</v>
      </c>
      <c r="G135" s="80"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19">SUM(C138:C142,C144:C145)</f>
        <v>0</v>
      </c>
      <c r="D137" s="80">
        <f t="shared" si="19"/>
        <v>0</v>
      </c>
      <c r="E137" s="80">
        <f t="shared" si="19"/>
        <v>0</v>
      </c>
      <c r="F137" s="80">
        <f t="shared" si="19"/>
        <v>0</v>
      </c>
      <c r="G137" s="80">
        <f t="shared" si="19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20">SUM(C147:C149)</f>
        <v>0</v>
      </c>
      <c r="D146" s="80">
        <f t="shared" si="20"/>
        <v>0</v>
      </c>
      <c r="E146" s="80">
        <f t="shared" si="20"/>
        <v>0</v>
      </c>
      <c r="F146" s="80">
        <f t="shared" si="20"/>
        <v>0</v>
      </c>
      <c r="G146" s="80">
        <f t="shared" si="20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21">SUM(C151:C157)</f>
        <v>0</v>
      </c>
      <c r="D150" s="80">
        <f t="shared" si="21"/>
        <v>0</v>
      </c>
      <c r="E150" s="80">
        <f t="shared" si="21"/>
        <v>0</v>
      </c>
      <c r="F150" s="80">
        <f t="shared" si="21"/>
        <v>0</v>
      </c>
      <c r="G150" s="80">
        <f t="shared" si="21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129663403.99999999</v>
      </c>
      <c r="C159" s="79">
        <f t="shared" ref="C159:G159" si="22">C9+C84</f>
        <v>8530977.6299999952</v>
      </c>
      <c r="D159" s="79">
        <f t="shared" si="22"/>
        <v>138194381.62999997</v>
      </c>
      <c r="E159" s="79">
        <f t="shared" si="22"/>
        <v>95573972.430000007</v>
      </c>
      <c r="F159" s="79">
        <f t="shared" si="22"/>
        <v>95569724.610000014</v>
      </c>
      <c r="G159" s="79">
        <f t="shared" si="22"/>
        <v>69974478.5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129663403.99999999</v>
      </c>
      <c r="Q2" s="18">
        <f>'Formato 6 a)'!C9</f>
        <v>1641547.8999999966</v>
      </c>
      <c r="R2" s="18">
        <f>'Formato 6 a)'!D9</f>
        <v>131304951.89999998</v>
      </c>
      <c r="S2" s="18">
        <f>'Formato 6 a)'!E9</f>
        <v>90547771.460000008</v>
      </c>
      <c r="T2" s="18">
        <f>'Formato 6 a)'!F9</f>
        <v>90545656.930000007</v>
      </c>
      <c r="U2" s="18">
        <f>'Formato 6 a)'!G9</f>
        <v>68111249.739999995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105412830.21999998</v>
      </c>
      <c r="Q3" s="18">
        <f>'Formato 6 a)'!C10</f>
        <v>-1.862645149230957E-9</v>
      </c>
      <c r="R3" s="18">
        <f>'Formato 6 a)'!D10</f>
        <v>105412830.21999998</v>
      </c>
      <c r="S3" s="18">
        <f>'Formato 6 a)'!E10</f>
        <v>76224212.340000004</v>
      </c>
      <c r="T3" s="18">
        <f>'Formato 6 a)'!F10</f>
        <v>76224212.340000004</v>
      </c>
      <c r="U3" s="18">
        <f>'Formato 6 a)'!G10</f>
        <v>56542687.179999992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71271403.579999998</v>
      </c>
      <c r="Q4" s="18">
        <f>'Formato 6 a)'!C11</f>
        <v>-84500</v>
      </c>
      <c r="R4" s="18">
        <f>'Formato 6 a)'!D11</f>
        <v>71186903.579999998</v>
      </c>
      <c r="S4" s="18">
        <f>'Formato 6 a)'!E11</f>
        <v>51612861.860000007</v>
      </c>
      <c r="T4" s="18">
        <f>'Formato 6 a)'!F11</f>
        <v>51612861.860000007</v>
      </c>
      <c r="U4" s="18">
        <f>'Formato 6 a)'!G11</f>
        <v>38726940.879999995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9252708.2700000014</v>
      </c>
      <c r="Q6" s="18">
        <f>'Formato 6 a)'!C13</f>
        <v>84499.999999998137</v>
      </c>
      <c r="R6" s="18">
        <f>'Formato 6 a)'!D13</f>
        <v>9337208.2699999996</v>
      </c>
      <c r="S6" s="18">
        <f>'Formato 6 a)'!E13</f>
        <v>7109177.1999999983</v>
      </c>
      <c r="T6" s="18">
        <f>'Formato 6 a)'!F13</f>
        <v>7109177.1999999983</v>
      </c>
      <c r="U6" s="18">
        <f>'Formato 6 a)'!G13</f>
        <v>4404428.2800000021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15888705.789999999</v>
      </c>
      <c r="Q7" s="18">
        <f>'Formato 6 a)'!C14</f>
        <v>-60000</v>
      </c>
      <c r="R7" s="18">
        <f>'Formato 6 a)'!D14</f>
        <v>15828705.789999999</v>
      </c>
      <c r="S7" s="18">
        <f>'Formato 6 a)'!E14</f>
        <v>11307152.760000002</v>
      </c>
      <c r="T7" s="18">
        <f>'Formato 6 a)'!F14</f>
        <v>11307152.760000002</v>
      </c>
      <c r="U7" s="18">
        <f>'Formato 6 a)'!G14</f>
        <v>8577605.3999999985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9000012.5800000001</v>
      </c>
      <c r="Q8" s="18">
        <f>'Formato 6 a)'!C15</f>
        <v>60000</v>
      </c>
      <c r="R8" s="18">
        <f>'Formato 6 a)'!D15</f>
        <v>9060012.5800000001</v>
      </c>
      <c r="S8" s="18">
        <f>'Formato 6 a)'!E15</f>
        <v>6195020.5199999996</v>
      </c>
      <c r="T8" s="18">
        <f>'Formato 6 a)'!F15</f>
        <v>6195020.5199999996</v>
      </c>
      <c r="U8" s="18">
        <f>'Formato 6 a)'!G15</f>
        <v>4833712.620000001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4438024.7</v>
      </c>
      <c r="Q11" s="18">
        <f>'Formato 6 a)'!C18</f>
        <v>388010.37999999966</v>
      </c>
      <c r="R11" s="18">
        <f>'Formato 6 a)'!D18</f>
        <v>4826035.080000001</v>
      </c>
      <c r="S11" s="18">
        <f>'Formato 6 a)'!E18</f>
        <v>2803312.6399999992</v>
      </c>
      <c r="T11" s="18">
        <f>'Formato 6 a)'!F18</f>
        <v>2802157.9099999992</v>
      </c>
      <c r="U11" s="18">
        <f>'Formato 6 a)'!G18</f>
        <v>2022722.4400000011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1024599.9800000002</v>
      </c>
      <c r="Q12" s="18">
        <f>'Formato 6 a)'!C19</f>
        <v>4504.0299999997951</v>
      </c>
      <c r="R12" s="18">
        <f>'Formato 6 a)'!D19</f>
        <v>1029104.01</v>
      </c>
      <c r="S12" s="18">
        <f>'Formato 6 a)'!E19</f>
        <v>526558.36999999965</v>
      </c>
      <c r="T12" s="18">
        <f>'Formato 6 a)'!F19</f>
        <v>526558.36999999965</v>
      </c>
      <c r="U12" s="18">
        <f>'Formato 6 a)'!G19</f>
        <v>502545.64000000036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764999.95000000007</v>
      </c>
      <c r="Q13" s="18">
        <f>'Formato 6 a)'!C20</f>
        <v>20221.849999999977</v>
      </c>
      <c r="R13" s="18">
        <f>'Formato 6 a)'!D20</f>
        <v>785221.8</v>
      </c>
      <c r="S13" s="18">
        <f>'Formato 6 a)'!E20</f>
        <v>592018.5</v>
      </c>
      <c r="T13" s="18">
        <f>'Formato 6 a)'!F20</f>
        <v>590863.7699999999</v>
      </c>
      <c r="U13" s="18">
        <f>'Formato 6 a)'!G20</f>
        <v>193203.30000000005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623749.69000000006</v>
      </c>
      <c r="Q15" s="18">
        <f>'Formato 6 a)'!C22</f>
        <v>354690.86</v>
      </c>
      <c r="R15" s="18">
        <f>'Formato 6 a)'!D22</f>
        <v>978440.55</v>
      </c>
      <c r="S15" s="18">
        <f>'Formato 6 a)'!E22</f>
        <v>670431.39999999991</v>
      </c>
      <c r="T15" s="18">
        <f>'Formato 6 a)'!F22</f>
        <v>670431.39999999991</v>
      </c>
      <c r="U15" s="18">
        <f>'Formato 6 a)'!G22</f>
        <v>308009.15000000014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199999.96000000002</v>
      </c>
      <c r="Q16" s="18">
        <f>'Formato 6 a)'!C23</f>
        <v>13381.769999999844</v>
      </c>
      <c r="R16" s="18">
        <f>'Formato 6 a)'!D23</f>
        <v>213381.72999999986</v>
      </c>
      <c r="S16" s="18">
        <f>'Formato 6 a)'!E23</f>
        <v>156806.76</v>
      </c>
      <c r="T16" s="18">
        <f>'Formato 6 a)'!F23</f>
        <v>156806.76</v>
      </c>
      <c r="U16" s="18">
        <f>'Formato 6 a)'!G23</f>
        <v>56574.969999999856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1622509.8700000003</v>
      </c>
      <c r="Q17" s="18">
        <f>'Formato 6 a)'!C24</f>
        <v>-22500</v>
      </c>
      <c r="R17" s="18">
        <f>'Formato 6 a)'!D24</f>
        <v>1600009.8700000003</v>
      </c>
      <c r="S17" s="18">
        <f>'Formato 6 a)'!E24</f>
        <v>752627.33</v>
      </c>
      <c r="T17" s="18">
        <f>'Formato 6 a)'!F24</f>
        <v>752627.33</v>
      </c>
      <c r="U17" s="18">
        <f>'Formato 6 a)'!G24</f>
        <v>847382.54000000039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28665.41</v>
      </c>
      <c r="Q18" s="18">
        <f>'Formato 6 a)'!C25</f>
        <v>-1676</v>
      </c>
      <c r="R18" s="18">
        <f>'Formato 6 a)'!D25</f>
        <v>26989.41</v>
      </c>
      <c r="S18" s="18">
        <f>'Formato 6 a)'!E25</f>
        <v>9513.0899999999965</v>
      </c>
      <c r="T18" s="18">
        <f>'Formato 6 a)'!F25</f>
        <v>9513.0899999999965</v>
      </c>
      <c r="U18" s="18">
        <f>'Formato 6 a)'!G25</f>
        <v>17476.320000000003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173499.83999999997</v>
      </c>
      <c r="Q20" s="18">
        <f>'Formato 6 a)'!C27</f>
        <v>19387.870000000054</v>
      </c>
      <c r="R20" s="18">
        <f>'Formato 6 a)'!D27</f>
        <v>192887.71000000002</v>
      </c>
      <c r="S20" s="18">
        <f>'Formato 6 a)'!E27</f>
        <v>95357.19</v>
      </c>
      <c r="T20" s="18">
        <f>'Formato 6 a)'!F27</f>
        <v>95357.19</v>
      </c>
      <c r="U20" s="18">
        <f>'Formato 6 a)'!G27</f>
        <v>97530.520000000019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16522549.079999998</v>
      </c>
      <c r="Q21" s="18">
        <f>'Formato 6 a)'!C28</f>
        <v>-108927.97000000172</v>
      </c>
      <c r="R21" s="18">
        <f>'Formato 6 a)'!D28</f>
        <v>16413621.109999999</v>
      </c>
      <c r="S21" s="18">
        <f>'Formato 6 a)'!E28</f>
        <v>8726408.0099999998</v>
      </c>
      <c r="T21" s="18">
        <f>'Formato 6 a)'!F28</f>
        <v>8726180.7100000009</v>
      </c>
      <c r="U21" s="18">
        <f>'Formato 6 a)'!G28</f>
        <v>7687213.0999999968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1616420</v>
      </c>
      <c r="Q22" s="18">
        <f>'Formato 6 a)'!C29</f>
        <v>-60747.920000000158</v>
      </c>
      <c r="R22" s="18">
        <f>'Formato 6 a)'!D29</f>
        <v>1555672.0799999998</v>
      </c>
      <c r="S22" s="18">
        <f>'Formato 6 a)'!E29</f>
        <v>988582.90000000014</v>
      </c>
      <c r="T22" s="18">
        <f>'Formato 6 a)'!F29</f>
        <v>988582.90000000014</v>
      </c>
      <c r="U22" s="18">
        <f>'Formato 6 a)'!G29</f>
        <v>567089.1799999997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97500</v>
      </c>
      <c r="Q23" s="18">
        <f>'Formato 6 a)'!C30</f>
        <v>2000</v>
      </c>
      <c r="R23" s="18">
        <f>'Formato 6 a)'!D30</f>
        <v>99500</v>
      </c>
      <c r="S23" s="18">
        <f>'Formato 6 a)'!E30</f>
        <v>49338.229999999996</v>
      </c>
      <c r="T23" s="18">
        <f>'Formato 6 a)'!F30</f>
        <v>49338.229999999996</v>
      </c>
      <c r="U23" s="18">
        <f>'Formato 6 a)'!G30</f>
        <v>50161.770000000004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5241000</v>
      </c>
      <c r="Q24" s="18">
        <f>'Formato 6 a)'!C31</f>
        <v>192522.44999999925</v>
      </c>
      <c r="R24" s="18">
        <f>'Formato 6 a)'!D31</f>
        <v>5433522.4499999993</v>
      </c>
      <c r="S24" s="18">
        <f>'Formato 6 a)'!E31</f>
        <v>3680394.8800000004</v>
      </c>
      <c r="T24" s="18">
        <f>'Formato 6 a)'!F31</f>
        <v>3680394.8800000004</v>
      </c>
      <c r="U24" s="18">
        <f>'Formato 6 a)'!G31</f>
        <v>1753127.5699999989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382500.63</v>
      </c>
      <c r="Q25" s="18">
        <f>'Formato 6 a)'!C32</f>
        <v>60000.000000000058</v>
      </c>
      <c r="R25" s="18">
        <f>'Formato 6 a)'!D32</f>
        <v>442500.63000000006</v>
      </c>
      <c r="S25" s="18">
        <f>'Formato 6 a)'!E32</f>
        <v>412980.05000000005</v>
      </c>
      <c r="T25" s="18">
        <f>'Formato 6 a)'!F32</f>
        <v>412980.05000000005</v>
      </c>
      <c r="U25" s="18">
        <f>'Formato 6 a)'!G32</f>
        <v>29520.580000000016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4387199.9999999991</v>
      </c>
      <c r="Q26" s="18">
        <f>'Formato 6 a)'!C33</f>
        <v>-178169.19000000041</v>
      </c>
      <c r="R26" s="18">
        <f>'Formato 6 a)'!D33</f>
        <v>4209030.8099999987</v>
      </c>
      <c r="S26" s="18">
        <f>'Formato 6 a)'!E33</f>
        <v>1856718.7600000002</v>
      </c>
      <c r="T26" s="18">
        <f>'Formato 6 a)'!F33</f>
        <v>1856718.7600000002</v>
      </c>
      <c r="U26" s="18">
        <f>'Formato 6 a)'!G33</f>
        <v>2352312.0499999984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260000</v>
      </c>
      <c r="Q27" s="18">
        <f>'Formato 6 a)'!C34</f>
        <v>-17718.75</v>
      </c>
      <c r="R27" s="18">
        <f>'Formato 6 a)'!D34</f>
        <v>242281.25</v>
      </c>
      <c r="S27" s="18">
        <f>'Formato 6 a)'!E34</f>
        <v>13920</v>
      </c>
      <c r="T27" s="18">
        <f>'Formato 6 a)'!F34</f>
        <v>13920</v>
      </c>
      <c r="U27" s="18">
        <f>'Formato 6 a)'!G34</f>
        <v>228361.25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333880.00000000006</v>
      </c>
      <c r="Q28" s="18">
        <f>'Formato 6 a)'!C35</f>
        <v>42231.639999999956</v>
      </c>
      <c r="R28" s="18">
        <f>'Formato 6 a)'!D35</f>
        <v>376111.64</v>
      </c>
      <c r="S28" s="18">
        <f>'Formato 6 a)'!E35</f>
        <v>174230.07</v>
      </c>
      <c r="T28" s="18">
        <f>'Formato 6 a)'!F35</f>
        <v>174230.07</v>
      </c>
      <c r="U28" s="18">
        <f>'Formato 6 a)'!G35</f>
        <v>201881.57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2208500</v>
      </c>
      <c r="Q29" s="18">
        <f>'Formato 6 a)'!C36</f>
        <v>-131746.20000000019</v>
      </c>
      <c r="R29" s="18">
        <f>'Formato 6 a)'!D36</f>
        <v>2076753.7999999998</v>
      </c>
      <c r="S29" s="18">
        <f>'Formato 6 a)'!E36</f>
        <v>277568.13</v>
      </c>
      <c r="T29" s="18">
        <f>'Formato 6 a)'!F36</f>
        <v>277340.83</v>
      </c>
      <c r="U29" s="18">
        <f>'Formato 6 a)'!G36</f>
        <v>1799185.67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1995548.4500000002</v>
      </c>
      <c r="Q30" s="18">
        <f>'Formato 6 a)'!C37</f>
        <v>-17300.000000000233</v>
      </c>
      <c r="R30" s="18">
        <f>'Formato 6 a)'!D37</f>
        <v>1978248.45</v>
      </c>
      <c r="S30" s="18">
        <f>'Formato 6 a)'!E37</f>
        <v>1272674.9899999998</v>
      </c>
      <c r="T30" s="18">
        <f>'Formato 6 a)'!F37</f>
        <v>1272674.9899999998</v>
      </c>
      <c r="U30" s="18">
        <f>'Formato 6 a)'!G37</f>
        <v>705573.4600000002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3099999.9999999995</v>
      </c>
      <c r="Q31" s="18">
        <f>'Formato 6 a)'!C38</f>
        <v>1343885.4900000007</v>
      </c>
      <c r="R31" s="18">
        <f>'Formato 6 a)'!D38</f>
        <v>4443885.49</v>
      </c>
      <c r="S31" s="18">
        <f>'Formato 6 a)'!E38</f>
        <v>2718994.4800000004</v>
      </c>
      <c r="T31" s="18">
        <f>'Formato 6 a)'!F38</f>
        <v>2718261.98</v>
      </c>
      <c r="U31" s="18">
        <f>'Formato 6 a)'!G38</f>
        <v>1724891.0099999998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3099999.9999999995</v>
      </c>
      <c r="Q35" s="18">
        <f>'Formato 6 a)'!C42</f>
        <v>1343885.4900000007</v>
      </c>
      <c r="R35" s="18">
        <f>'Formato 6 a)'!D42</f>
        <v>4443885.49</v>
      </c>
      <c r="S35" s="18">
        <f>'Formato 6 a)'!E42</f>
        <v>2718994.4800000004</v>
      </c>
      <c r="T35" s="18">
        <f>'Formato 6 a)'!F42</f>
        <v>2718261.98</v>
      </c>
      <c r="U35" s="18">
        <f>'Formato 6 a)'!G42</f>
        <v>1724891.0099999998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190000</v>
      </c>
      <c r="Q41" s="18">
        <f>'Formato 6 a)'!C48</f>
        <v>18580</v>
      </c>
      <c r="R41" s="18">
        <f>'Formato 6 a)'!D48</f>
        <v>208580</v>
      </c>
      <c r="S41" s="18">
        <f>'Formato 6 a)'!E48</f>
        <v>74843.989999999991</v>
      </c>
      <c r="T41" s="18">
        <f>'Formato 6 a)'!F48</f>
        <v>74843.989999999991</v>
      </c>
      <c r="U41" s="18">
        <f>'Formato 6 a)'!G48</f>
        <v>133736.01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50000</v>
      </c>
      <c r="Q42" s="18">
        <f>'Formato 6 a)'!C49</f>
        <v>36580</v>
      </c>
      <c r="R42" s="18">
        <f>'Formato 6 a)'!D49</f>
        <v>86580</v>
      </c>
      <c r="S42" s="18">
        <f>'Formato 6 a)'!E49</f>
        <v>74843.989999999991</v>
      </c>
      <c r="T42" s="18">
        <f>'Formato 6 a)'!F49</f>
        <v>74843.989999999991</v>
      </c>
      <c r="U42" s="18">
        <f>'Formato 6 a)'!G49</f>
        <v>11736.010000000009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100000</v>
      </c>
      <c r="Q44" s="18">
        <f>'Formato 6 a)'!C51</f>
        <v>0</v>
      </c>
      <c r="R44" s="18">
        <f>'Formato 6 a)'!D51</f>
        <v>100000</v>
      </c>
      <c r="S44" s="18">
        <f>'Formato 6 a)'!E51</f>
        <v>0</v>
      </c>
      <c r="T44" s="18">
        <f>'Formato 6 a)'!F51</f>
        <v>0</v>
      </c>
      <c r="U44" s="18">
        <f>'Formato 6 a)'!G51</f>
        <v>100000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30000</v>
      </c>
      <c r="Q47" s="18">
        <f>'Formato 6 a)'!C54</f>
        <v>-20000</v>
      </c>
      <c r="R47" s="18">
        <f>'Formato 6 a)'!D54</f>
        <v>10000</v>
      </c>
      <c r="S47" s="18">
        <f>'Formato 6 a)'!E54</f>
        <v>0</v>
      </c>
      <c r="T47" s="18">
        <f>'Formato 6 a)'!F54</f>
        <v>0</v>
      </c>
      <c r="U47" s="18">
        <f>'Formato 6 a)'!G54</f>
        <v>10000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10000</v>
      </c>
      <c r="Q50" s="18">
        <f>'Formato 6 a)'!C57</f>
        <v>2000</v>
      </c>
      <c r="R50" s="18">
        <f>'Formato 6 a)'!D57</f>
        <v>12000</v>
      </c>
      <c r="S50" s="18">
        <f>'Formato 6 a)'!E57</f>
        <v>0</v>
      </c>
      <c r="T50" s="18">
        <f>'Formato 6 a)'!F57</f>
        <v>0</v>
      </c>
      <c r="U50" s="18">
        <f>'Formato 6 a)'!G57</f>
        <v>12000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6889429.7299999995</v>
      </c>
      <c r="R76">
        <f>'Formato 6 a)'!D84</f>
        <v>6889429.7299999995</v>
      </c>
      <c r="S76">
        <f>'Formato 6 a)'!E84</f>
        <v>5026200.97</v>
      </c>
      <c r="T76">
        <f>'Formato 6 a)'!F84</f>
        <v>5024067.68</v>
      </c>
      <c r="U76">
        <f>'Formato 6 a)'!G84</f>
        <v>1863228.7599999998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19782.3</v>
      </c>
      <c r="R77">
        <f>'Formato 6 a)'!D85</f>
        <v>19782.3</v>
      </c>
      <c r="S77">
        <f>'Formato 6 a)'!E85</f>
        <v>9428.92</v>
      </c>
      <c r="T77">
        <f>'Formato 6 a)'!F85</f>
        <v>9428.92</v>
      </c>
      <c r="U77">
        <f>'Formato 6 a)'!G85</f>
        <v>10353.379999999999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9428.92</v>
      </c>
      <c r="R78">
        <f>'Formato 6 a)'!D86</f>
        <v>9428.92</v>
      </c>
      <c r="S78">
        <f>'Formato 6 a)'!E86</f>
        <v>9428.92</v>
      </c>
      <c r="T78">
        <f>'Formato 6 a)'!F86</f>
        <v>9428.92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10353.379999999999</v>
      </c>
      <c r="R80">
        <f>'Formato 6 a)'!D88</f>
        <v>10353.379999999999</v>
      </c>
      <c r="S80">
        <f>'Formato 6 a)'!E88</f>
        <v>0</v>
      </c>
      <c r="T80">
        <f>'Formato 6 a)'!F88</f>
        <v>0</v>
      </c>
      <c r="U80">
        <f>'Formato 6 a)'!G88</f>
        <v>10353.379999999999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1624039.8299999998</v>
      </c>
      <c r="R85">
        <f>'Formato 6 a)'!D93</f>
        <v>1624039.8299999998</v>
      </c>
      <c r="S85">
        <f>'Formato 6 a)'!E93</f>
        <v>1377460.4000000001</v>
      </c>
      <c r="T85">
        <f>'Formato 6 a)'!F93</f>
        <v>1377460.4000000001</v>
      </c>
      <c r="U85">
        <f>'Formato 6 a)'!G93</f>
        <v>246579.4299999997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619796.51</v>
      </c>
      <c r="R86">
        <f>'Formato 6 a)'!D94</f>
        <v>619796.51</v>
      </c>
      <c r="S86">
        <f>'Formato 6 a)'!E94</f>
        <v>611931.81000000006</v>
      </c>
      <c r="T86">
        <f>'Formato 6 a)'!F94</f>
        <v>611931.81000000006</v>
      </c>
      <c r="U86">
        <f>'Formato 6 a)'!G94</f>
        <v>7864.6999999999534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37288.130000000005</v>
      </c>
      <c r="R87">
        <f>'Formato 6 a)'!D95</f>
        <v>37288.130000000005</v>
      </c>
      <c r="S87">
        <f>'Formato 6 a)'!E95</f>
        <v>37164.740000000005</v>
      </c>
      <c r="T87">
        <f>'Formato 6 a)'!F95</f>
        <v>37164.740000000005</v>
      </c>
      <c r="U87">
        <f>'Formato 6 a)'!G95</f>
        <v>123.38999999999942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793555.6399999999</v>
      </c>
      <c r="R89">
        <f>'Formato 6 a)'!D97</f>
        <v>793555.6399999999</v>
      </c>
      <c r="S89">
        <f>'Formato 6 a)'!E97</f>
        <v>576566.57000000007</v>
      </c>
      <c r="T89">
        <f>'Formato 6 a)'!F97</f>
        <v>576566.57000000007</v>
      </c>
      <c r="U89">
        <f>'Formato 6 a)'!G97</f>
        <v>216989.06999999983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109662.83</v>
      </c>
      <c r="R90">
        <f>'Formato 6 a)'!D98</f>
        <v>109662.83</v>
      </c>
      <c r="S90">
        <f>'Formato 6 a)'!E98</f>
        <v>101551.23</v>
      </c>
      <c r="T90">
        <f>'Formato 6 a)'!F98</f>
        <v>101551.23</v>
      </c>
      <c r="U90">
        <f>'Formato 6 a)'!G98</f>
        <v>8111.6000000000058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19107.2</v>
      </c>
      <c r="R92">
        <f>'Formato 6 a)'!D100</f>
        <v>19107.2</v>
      </c>
      <c r="S92">
        <f>'Formato 6 a)'!E100</f>
        <v>16436.190000000002</v>
      </c>
      <c r="T92">
        <f>'Formato 6 a)'!F100</f>
        <v>16436.190000000002</v>
      </c>
      <c r="U92">
        <f>'Formato 6 a)'!G100</f>
        <v>2671.0099999999984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44629.520000000004</v>
      </c>
      <c r="R94">
        <f>'Formato 6 a)'!D102</f>
        <v>44629.520000000004</v>
      </c>
      <c r="S94">
        <f>'Formato 6 a)'!E102</f>
        <v>33809.86</v>
      </c>
      <c r="T94">
        <f>'Formato 6 a)'!F102</f>
        <v>33809.86</v>
      </c>
      <c r="U94">
        <f>'Formato 6 a)'!G102</f>
        <v>10819.660000000003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564230.67000000004</v>
      </c>
      <c r="R95">
        <f>'Formato 6 a)'!D103</f>
        <v>564230.67000000004</v>
      </c>
      <c r="S95">
        <f>'Formato 6 a)'!E103</f>
        <v>487825.01999999996</v>
      </c>
      <c r="T95">
        <f>'Formato 6 a)'!F103</f>
        <v>485691.73</v>
      </c>
      <c r="U95">
        <f>'Formato 6 a)'!G103</f>
        <v>76405.650000000081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75240.829999999987</v>
      </c>
      <c r="R96">
        <f>'Formato 6 a)'!D104</f>
        <v>75240.829999999987</v>
      </c>
      <c r="S96">
        <f>'Formato 6 a)'!E104</f>
        <v>65915.69</v>
      </c>
      <c r="T96">
        <f>'Formato 6 a)'!F104</f>
        <v>65915.69</v>
      </c>
      <c r="U96">
        <f>'Formato 6 a)'!G104</f>
        <v>9325.1399999999849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289579.44</v>
      </c>
      <c r="R98">
        <f>'Formato 6 a)'!D106</f>
        <v>289579.44</v>
      </c>
      <c r="S98">
        <f>'Formato 6 a)'!E106</f>
        <v>224632.41</v>
      </c>
      <c r="T98">
        <f>'Formato 6 a)'!F106</f>
        <v>224632.41</v>
      </c>
      <c r="U98">
        <f>'Formato 6 a)'!G106</f>
        <v>64947.03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121066.5</v>
      </c>
      <c r="R100">
        <f>'Formato 6 a)'!D108</f>
        <v>121066.5</v>
      </c>
      <c r="S100">
        <f>'Formato 6 a)'!E108</f>
        <v>121066.31</v>
      </c>
      <c r="T100">
        <f>'Formato 6 a)'!F108</f>
        <v>121066.31</v>
      </c>
      <c r="U100">
        <f>'Formato 6 a)'!G108</f>
        <v>0.19000000000232831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63800</v>
      </c>
      <c r="R103">
        <f>'Formato 6 a)'!D111</f>
        <v>63800</v>
      </c>
      <c r="S103">
        <f>'Formato 6 a)'!E111</f>
        <v>63800</v>
      </c>
      <c r="T103">
        <f>'Formato 6 a)'!F111</f>
        <v>63800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14543.9</v>
      </c>
      <c r="R104">
        <f>'Formato 6 a)'!D112</f>
        <v>14543.9</v>
      </c>
      <c r="S104">
        <f>'Formato 6 a)'!E112</f>
        <v>12410.61</v>
      </c>
      <c r="T104">
        <f>'Formato 6 a)'!F112</f>
        <v>10277.32</v>
      </c>
      <c r="U104">
        <f>'Formato 6 a)'!G112</f>
        <v>2133.2899999999991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3623482.96</v>
      </c>
      <c r="R105">
        <f>'Formato 6 a)'!D113</f>
        <v>3623482.96</v>
      </c>
      <c r="S105">
        <f>'Formato 6 a)'!E113</f>
        <v>2093592.67</v>
      </c>
      <c r="T105">
        <f>'Formato 6 a)'!F113</f>
        <v>2093592.67</v>
      </c>
      <c r="U105">
        <f>'Formato 6 a)'!G113</f>
        <v>1529890.29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477510</v>
      </c>
      <c r="R107">
        <f>'Formato 6 a)'!D115</f>
        <v>477510</v>
      </c>
      <c r="S107">
        <f>'Formato 6 a)'!E115</f>
        <v>477510</v>
      </c>
      <c r="T107">
        <f>'Formato 6 a)'!F115</f>
        <v>477510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3145972.96</v>
      </c>
      <c r="R109">
        <f>'Formato 6 a)'!D117</f>
        <v>3145972.96</v>
      </c>
      <c r="S109">
        <f>'Formato 6 a)'!E117</f>
        <v>1616082.67</v>
      </c>
      <c r="T109">
        <f>'Formato 6 a)'!F117</f>
        <v>1616082.67</v>
      </c>
      <c r="U109">
        <f>'Formato 6 a)'!G117</f>
        <v>1529890.29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783600.91999999993</v>
      </c>
      <c r="R115">
        <f>'Formato 6 a)'!D123</f>
        <v>783600.91999999993</v>
      </c>
      <c r="S115">
        <f>'Formato 6 a)'!E123</f>
        <v>783600.90999999992</v>
      </c>
      <c r="T115">
        <f>'Formato 6 a)'!F123</f>
        <v>783600.90999999992</v>
      </c>
      <c r="U115">
        <f>'Formato 6 a)'!G123</f>
        <v>1.0000000009313226E-2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452809</v>
      </c>
      <c r="R116">
        <f>'Formato 6 a)'!D124</f>
        <v>452809</v>
      </c>
      <c r="S116">
        <f>'Formato 6 a)'!E124</f>
        <v>452808.99</v>
      </c>
      <c r="T116">
        <f>'Formato 6 a)'!F124</f>
        <v>452808.99</v>
      </c>
      <c r="U116">
        <f>'Formato 6 a)'!G124</f>
        <v>1.0000000009313226E-2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16213.92</v>
      </c>
      <c r="R117">
        <f>'Formato 6 a)'!D125</f>
        <v>16213.92</v>
      </c>
      <c r="S117">
        <f>'Formato 6 a)'!E125</f>
        <v>16213.92</v>
      </c>
      <c r="T117">
        <f>'Formato 6 a)'!F125</f>
        <v>16213.92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314578</v>
      </c>
      <c r="R121">
        <f>'Formato 6 a)'!D129</f>
        <v>314578</v>
      </c>
      <c r="S121">
        <f>'Formato 6 a)'!E129</f>
        <v>314578</v>
      </c>
      <c r="T121">
        <f>'Formato 6 a)'!F129</f>
        <v>314578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274293.05</v>
      </c>
      <c r="R125">
        <f>'Formato 6 a)'!D133</f>
        <v>274293.05</v>
      </c>
      <c r="S125">
        <f>'Formato 6 a)'!E133</f>
        <v>274293.05</v>
      </c>
      <c r="T125">
        <f>'Formato 6 a)'!F133</f>
        <v>274293.05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274293.05</v>
      </c>
      <c r="R127">
        <f>'Formato 6 a)'!D135</f>
        <v>274293.05</v>
      </c>
      <c r="S127">
        <f>'Formato 6 a)'!E135</f>
        <v>274293.05</v>
      </c>
      <c r="T127">
        <f>'Formato 6 a)'!F135</f>
        <v>274293.05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129663403.99999999</v>
      </c>
      <c r="Q150">
        <f>'Formato 6 a)'!C159</f>
        <v>8530977.6299999952</v>
      </c>
      <c r="R150">
        <f>'Formato 6 a)'!D159</f>
        <v>138194381.62999997</v>
      </c>
      <c r="S150">
        <f>'Formato 6 a)'!E159</f>
        <v>95573972.430000007</v>
      </c>
      <c r="T150">
        <f>'Formato 6 a)'!F159</f>
        <v>95569724.610000014</v>
      </c>
      <c r="U150">
        <f>'Formato 6 a)'!G159</f>
        <v>69974478.5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1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3" t="s">
        <v>3290</v>
      </c>
      <c r="B1" s="173"/>
      <c r="C1" s="173"/>
      <c r="D1" s="173"/>
      <c r="E1" s="173"/>
      <c r="F1" s="173"/>
      <c r="G1" s="173"/>
    </row>
    <row r="2" spans="1:7" ht="14.25" x14ac:dyDescent="0.45">
      <c r="A2" s="154" t="str">
        <f>ENTE_PUBLICO_A</f>
        <v>Sistema para el Desarrollo Integral de la Familia en el Municipio de Leon Guanajuato, Gobierno del Estado de Guanajuato (a)</v>
      </c>
      <c r="B2" s="155"/>
      <c r="C2" s="155"/>
      <c r="D2" s="155"/>
      <c r="E2" s="155"/>
      <c r="F2" s="155"/>
      <c r="G2" s="156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431</v>
      </c>
      <c r="B4" s="158"/>
      <c r="C4" s="158"/>
      <c r="D4" s="158"/>
      <c r="E4" s="158"/>
      <c r="F4" s="158"/>
      <c r="G4" s="159"/>
    </row>
    <row r="5" spans="1:7" ht="14.25" x14ac:dyDescent="0.45">
      <c r="A5" s="160" t="str">
        <f>TRIMESTRE</f>
        <v>Del 1 de enero al 30 de septiembre de 2020 (b)</v>
      </c>
      <c r="B5" s="161"/>
      <c r="C5" s="161"/>
      <c r="D5" s="161"/>
      <c r="E5" s="161"/>
      <c r="F5" s="161"/>
      <c r="G5" s="162"/>
    </row>
    <row r="6" spans="1:7" ht="14.25" x14ac:dyDescent="0.45">
      <c r="A6" s="163" t="s">
        <v>118</v>
      </c>
      <c r="B6" s="164"/>
      <c r="C6" s="164"/>
      <c r="D6" s="164"/>
      <c r="E6" s="164"/>
      <c r="F6" s="164"/>
      <c r="G6" s="165"/>
    </row>
    <row r="7" spans="1:7" x14ac:dyDescent="0.25">
      <c r="A7" s="169" t="s">
        <v>0</v>
      </c>
      <c r="B7" s="171" t="s">
        <v>279</v>
      </c>
      <c r="C7" s="171"/>
      <c r="D7" s="171"/>
      <c r="E7" s="171"/>
      <c r="F7" s="171"/>
      <c r="G7" s="175" t="s">
        <v>280</v>
      </c>
    </row>
    <row r="8" spans="1:7" ht="30" x14ac:dyDescent="0.25">
      <c r="A8" s="170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4"/>
    </row>
    <row r="9" spans="1:7" ht="14.25" x14ac:dyDescent="0.45">
      <c r="A9" s="52" t="s">
        <v>440</v>
      </c>
      <c r="B9" s="59">
        <f>SUM(B10:GASTO_NE_FIN_01)</f>
        <v>129663403.99999999</v>
      </c>
      <c r="C9" s="59">
        <f>SUM(C10:GASTO_NE_FIN_02)</f>
        <v>1641547.8999999985</v>
      </c>
      <c r="D9" s="59">
        <f>SUM(D10:GASTO_NE_FIN_03)</f>
        <v>131304951.89999998</v>
      </c>
      <c r="E9" s="59">
        <f>SUM(E10:GASTO_NE_FIN_04)</f>
        <v>90547771.460000008</v>
      </c>
      <c r="F9" s="59">
        <f>SUM(F10:GASTO_NE_FIN_05)</f>
        <v>90545656.930000007</v>
      </c>
      <c r="G9" s="59">
        <f>SUM(G10:GASTO_NE_FIN_06)</f>
        <v>68111249.739999995</v>
      </c>
    </row>
    <row r="10" spans="1:7" s="24" customFormat="1" x14ac:dyDescent="0.25">
      <c r="A10" s="144" t="s">
        <v>432</v>
      </c>
      <c r="B10" s="60">
        <v>129663403.99999999</v>
      </c>
      <c r="C10" s="60">
        <v>1641547.8999999985</v>
      </c>
      <c r="D10" s="60">
        <v>131304951.89999998</v>
      </c>
      <c r="E10" s="60">
        <v>90547771.460000008</v>
      </c>
      <c r="F10" s="60">
        <v>90545656.930000007</v>
      </c>
      <c r="G10" s="77">
        <v>68111249.739999995</v>
      </c>
    </row>
    <row r="11" spans="1:7" s="24" customFormat="1" x14ac:dyDescent="0.25">
      <c r="A11" s="144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v>0</v>
      </c>
    </row>
    <row r="12" spans="1:7" s="24" customFormat="1" x14ac:dyDescent="0.25">
      <c r="A12" s="144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v>0</v>
      </c>
    </row>
    <row r="13" spans="1:7" s="24" customFormat="1" x14ac:dyDescent="0.25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v>0</v>
      </c>
    </row>
    <row r="14" spans="1:7" s="24" customFormat="1" x14ac:dyDescent="0.25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v>0</v>
      </c>
    </row>
    <row r="15" spans="1:7" s="24" customFormat="1" x14ac:dyDescent="0.25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v>0</v>
      </c>
    </row>
    <row r="16" spans="1:7" s="24" customFormat="1" x14ac:dyDescent="0.25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v>0</v>
      </c>
    </row>
    <row r="17" spans="1:7" s="24" customFormat="1" x14ac:dyDescent="0.25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6889429.7299999995</v>
      </c>
      <c r="D19" s="61">
        <f>SUM(D20:GASTO_E_FIN_03)</f>
        <v>6889429.7299999995</v>
      </c>
      <c r="E19" s="61">
        <f>SUM(E20:GASTO_E_FIN_04)</f>
        <v>5026200.97</v>
      </c>
      <c r="F19" s="61">
        <f>SUM(F20:GASTO_E_FIN_05)</f>
        <v>5024067.68</v>
      </c>
      <c r="G19" s="61">
        <f>SUM(G20:GASTO_E_FIN_06)</f>
        <v>1863228.7599999998</v>
      </c>
    </row>
    <row r="20" spans="1:7" s="24" customFormat="1" x14ac:dyDescent="0.25">
      <c r="A20" s="144" t="s">
        <v>432</v>
      </c>
      <c r="B20" s="79">
        <v>0</v>
      </c>
      <c r="C20" s="60">
        <v>6889429.7299999995</v>
      </c>
      <c r="D20" s="60">
        <v>6889429.7299999995</v>
      </c>
      <c r="E20" s="60">
        <v>5026200.97</v>
      </c>
      <c r="F20" s="60">
        <v>5024067.68</v>
      </c>
      <c r="G20" s="60">
        <v>1863228.7599999998</v>
      </c>
    </row>
    <row r="21" spans="1:7" s="24" customFormat="1" x14ac:dyDescent="0.25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0">D21-E21</f>
        <v>0</v>
      </c>
    </row>
    <row r="22" spans="1:7" s="24" customFormat="1" x14ac:dyDescent="0.25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0"/>
        <v>0</v>
      </c>
    </row>
    <row r="23" spans="1:7" s="24" customFormat="1" x14ac:dyDescent="0.25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0"/>
        <v>0</v>
      </c>
    </row>
    <row r="24" spans="1:7" s="24" customFormat="1" x14ac:dyDescent="0.25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0"/>
        <v>0</v>
      </c>
    </row>
    <row r="25" spans="1:7" s="24" customFormat="1" x14ac:dyDescent="0.25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0"/>
        <v>0</v>
      </c>
    </row>
    <row r="26" spans="1:7" s="24" customFormat="1" x14ac:dyDescent="0.25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0"/>
        <v>0</v>
      </c>
    </row>
    <row r="27" spans="1:7" s="24" customFormat="1" x14ac:dyDescent="0.25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0"/>
        <v>0</v>
      </c>
    </row>
    <row r="28" spans="1:7" ht="14.25" x14ac:dyDescent="0.45">
      <c r="A28" s="76" t="s">
        <v>686</v>
      </c>
      <c r="B28" s="54"/>
      <c r="C28" s="54"/>
      <c r="D28" s="54"/>
      <c r="E28" s="54"/>
      <c r="F28" s="54"/>
      <c r="G28" s="54"/>
    </row>
    <row r="29" spans="1:7" ht="14.25" x14ac:dyDescent="0.45">
      <c r="A29" s="55" t="s">
        <v>360</v>
      </c>
      <c r="B29" s="61">
        <f>GASTO_NE_T1+GASTO_E_T1</f>
        <v>129663403.99999999</v>
      </c>
      <c r="C29" s="61">
        <f>GASTO_NE_T2+GASTO_E_T2</f>
        <v>8530977.629999999</v>
      </c>
      <c r="D29" s="61">
        <f>GASTO_NE_T3+GASTO_E_T3</f>
        <v>138194381.62999997</v>
      </c>
      <c r="E29" s="61">
        <f>GASTO_NE_T4+GASTO_E_T4</f>
        <v>95573972.430000007</v>
      </c>
      <c r="F29" s="61">
        <f>GASTO_NE_T5+GASTO_E_T5</f>
        <v>95569724.610000014</v>
      </c>
      <c r="G29" s="61">
        <f>GASTO_NE_T6+GASTO_E_T6</f>
        <v>69974478.5</v>
      </c>
    </row>
    <row r="30" spans="1:7" ht="14.25" x14ac:dyDescent="0.4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129663403.99999999</v>
      </c>
      <c r="Q2" s="18">
        <f>GASTO_NE_T2</f>
        <v>1641547.8999999985</v>
      </c>
      <c r="R2" s="18">
        <f>GASTO_NE_T3</f>
        <v>131304951.89999998</v>
      </c>
      <c r="S2" s="18">
        <f>GASTO_NE_T4</f>
        <v>90547771.460000008</v>
      </c>
      <c r="T2" s="18">
        <f>GASTO_NE_T5</f>
        <v>90545656.930000007</v>
      </c>
      <c r="U2" s="18">
        <f>GASTO_NE_T6</f>
        <v>68111249.739999995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6889429.7299999995</v>
      </c>
      <c r="R3" s="18">
        <f>GASTO_E_T3</f>
        <v>6889429.7299999995</v>
      </c>
      <c r="S3" s="18">
        <f>GASTO_E_T4</f>
        <v>5026200.97</v>
      </c>
      <c r="T3" s="18">
        <f>GASTO_E_T5</f>
        <v>5024067.68</v>
      </c>
      <c r="U3" s="18">
        <f>GASTO_E_T6</f>
        <v>1863228.7599999998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129663403.99999999</v>
      </c>
      <c r="Q4" s="18">
        <f>TOTAL_E_T2</f>
        <v>8530977.629999999</v>
      </c>
      <c r="R4" s="18">
        <f>TOTAL_E_T3</f>
        <v>138194381.62999997</v>
      </c>
      <c r="S4" s="18">
        <f>TOTAL_E_T4</f>
        <v>95573972.430000007</v>
      </c>
      <c r="T4" s="18">
        <f>TOTAL_E_T5</f>
        <v>95569724.610000014</v>
      </c>
      <c r="U4" s="18">
        <f>TOTAL_E_T6</f>
        <v>69974478.5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tabSelected="1" topLeftCell="A25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9" t="s">
        <v>3289</v>
      </c>
      <c r="B1" s="180"/>
      <c r="C1" s="180"/>
      <c r="D1" s="180"/>
      <c r="E1" s="180"/>
      <c r="F1" s="180"/>
      <c r="G1" s="180"/>
    </row>
    <row r="2" spans="1:7" ht="14.25" x14ac:dyDescent="0.45">
      <c r="A2" s="154" t="str">
        <f>ENTE_PUBLICO_A</f>
        <v>Sistema para el Desarrollo Integral de la Familia en el Municipio de Leon Guanajuato, Gobierno del Estado de Guanajuato (a)</v>
      </c>
      <c r="B2" s="155"/>
      <c r="C2" s="155"/>
      <c r="D2" s="155"/>
      <c r="E2" s="155"/>
      <c r="F2" s="155"/>
      <c r="G2" s="156"/>
    </row>
    <row r="3" spans="1:7" x14ac:dyDescent="0.25">
      <c r="A3" s="157" t="s">
        <v>396</v>
      </c>
      <c r="B3" s="158"/>
      <c r="C3" s="158"/>
      <c r="D3" s="158"/>
      <c r="E3" s="158"/>
      <c r="F3" s="158"/>
      <c r="G3" s="159"/>
    </row>
    <row r="4" spans="1:7" x14ac:dyDescent="0.25">
      <c r="A4" s="157" t="s">
        <v>397</v>
      </c>
      <c r="B4" s="158"/>
      <c r="C4" s="158"/>
      <c r="D4" s="158"/>
      <c r="E4" s="158"/>
      <c r="F4" s="158"/>
      <c r="G4" s="159"/>
    </row>
    <row r="5" spans="1:7" ht="14.25" x14ac:dyDescent="0.45">
      <c r="A5" s="160" t="str">
        <f>TRIMESTRE</f>
        <v>Del 1 de enero al 30 de septiembre de 2020 (b)</v>
      </c>
      <c r="B5" s="161"/>
      <c r="C5" s="161"/>
      <c r="D5" s="161"/>
      <c r="E5" s="161"/>
      <c r="F5" s="161"/>
      <c r="G5" s="162"/>
    </row>
    <row r="6" spans="1:7" ht="14.25" x14ac:dyDescent="0.45">
      <c r="A6" s="163" t="s">
        <v>118</v>
      </c>
      <c r="B6" s="164"/>
      <c r="C6" s="164"/>
      <c r="D6" s="164"/>
      <c r="E6" s="164"/>
      <c r="F6" s="164"/>
      <c r="G6" s="165"/>
    </row>
    <row r="7" spans="1:7" x14ac:dyDescent="0.25">
      <c r="A7" s="158" t="s">
        <v>0</v>
      </c>
      <c r="B7" s="163" t="s">
        <v>279</v>
      </c>
      <c r="C7" s="164"/>
      <c r="D7" s="164"/>
      <c r="E7" s="164"/>
      <c r="F7" s="165"/>
      <c r="G7" s="175" t="s">
        <v>3286</v>
      </c>
    </row>
    <row r="8" spans="1:7" ht="30.75" customHeight="1" x14ac:dyDescent="0.25">
      <c r="A8" s="158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4"/>
    </row>
    <row r="9" spans="1:7" ht="14.25" x14ac:dyDescent="0.45">
      <c r="A9" s="52" t="s">
        <v>363</v>
      </c>
      <c r="B9" s="70">
        <f>SUM(B10,B19,B27,B37)</f>
        <v>129663403.99999999</v>
      </c>
      <c r="C9" s="70">
        <f t="shared" ref="C9:G9" si="0">SUM(C10,C19,C27,C37)</f>
        <v>1641547.8999999985</v>
      </c>
      <c r="D9" s="70">
        <f t="shared" si="0"/>
        <v>131304951.89999998</v>
      </c>
      <c r="E9" s="70">
        <f t="shared" si="0"/>
        <v>90547771.460000008</v>
      </c>
      <c r="F9" s="70">
        <f t="shared" si="0"/>
        <v>90545656.930000007</v>
      </c>
      <c r="G9" s="70">
        <f t="shared" si="0"/>
        <v>68111249.739999995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>SUM(D11:D18)</f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ht="14.25" x14ac:dyDescent="0.4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ht="14.25" x14ac:dyDescent="0.4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ht="14.25" x14ac:dyDescent="0.4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ht="14.25" x14ac:dyDescent="0.4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ht="14.25" x14ac:dyDescent="0.4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129663403.99999999</v>
      </c>
      <c r="C19" s="71">
        <f t="shared" ref="C19:F19" si="3">SUM(C20:C26)</f>
        <v>1641547.8999999985</v>
      </c>
      <c r="D19" s="71">
        <f t="shared" si="3"/>
        <v>131304951.89999998</v>
      </c>
      <c r="E19" s="71">
        <f t="shared" si="3"/>
        <v>90547771.460000008</v>
      </c>
      <c r="F19" s="71">
        <f t="shared" si="3"/>
        <v>90545656.930000007</v>
      </c>
      <c r="G19" s="71">
        <f>SUM(G20:G26)</f>
        <v>68111249.739999995</v>
      </c>
    </row>
    <row r="20" spans="1:7" x14ac:dyDescent="0.25">
      <c r="A20" s="63" t="s">
        <v>374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f>D20-E20</f>
        <v>0</v>
      </c>
    </row>
    <row r="21" spans="1:7" ht="14.25" x14ac:dyDescent="0.45">
      <c r="A21" s="63" t="s">
        <v>375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f t="shared" ref="G21:G26" si="4">D21-E21</f>
        <v>0</v>
      </c>
    </row>
    <row r="22" spans="1:7" ht="14.25" x14ac:dyDescent="0.45">
      <c r="A22" s="63" t="s">
        <v>376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f t="shared" si="4"/>
        <v>0</v>
      </c>
    </row>
    <row r="23" spans="1:7" x14ac:dyDescent="0.25">
      <c r="A23" s="63" t="s">
        <v>377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f t="shared" si="4"/>
        <v>0</v>
      </c>
    </row>
    <row r="24" spans="1:7" x14ac:dyDescent="0.25">
      <c r="A24" s="63" t="s">
        <v>378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f t="shared" si="4"/>
        <v>0</v>
      </c>
    </row>
    <row r="25" spans="1:7" x14ac:dyDescent="0.25">
      <c r="A25" s="63" t="s">
        <v>379</v>
      </c>
      <c r="B25" s="71">
        <v>129663403.99999999</v>
      </c>
      <c r="C25" s="71">
        <v>1641547.8999999985</v>
      </c>
      <c r="D25" s="71">
        <v>131304951.89999998</v>
      </c>
      <c r="E25" s="71">
        <v>90547771.460000008</v>
      </c>
      <c r="F25" s="71">
        <v>90545656.930000007</v>
      </c>
      <c r="G25" s="72">
        <v>68111249.739999995</v>
      </c>
    </row>
    <row r="26" spans="1:7" ht="14.25" x14ac:dyDescent="0.45">
      <c r="A26" s="63" t="s">
        <v>380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f>D28-E28</f>
        <v>0</v>
      </c>
    </row>
    <row r="29" spans="1:7" ht="14.25" x14ac:dyDescent="0.45">
      <c r="A29" s="63" t="s">
        <v>383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f t="shared" ref="G29:G36" si="6">D29-E29</f>
        <v>0</v>
      </c>
    </row>
    <row r="30" spans="1:7" x14ac:dyDescent="0.25">
      <c r="A30" s="63" t="s">
        <v>384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f t="shared" si="6"/>
        <v>0</v>
      </c>
    </row>
    <row r="31" spans="1:7" x14ac:dyDescent="0.25">
      <c r="A31" s="63" t="s">
        <v>385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f t="shared" si="6"/>
        <v>0</v>
      </c>
    </row>
    <row r="32" spans="1:7" ht="14.25" x14ac:dyDescent="0.45">
      <c r="A32" s="63" t="s">
        <v>386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f t="shared" si="6"/>
        <v>0</v>
      </c>
    </row>
    <row r="33" spans="1:7" ht="14.25" x14ac:dyDescent="0.45">
      <c r="A33" s="63" t="s">
        <v>387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f t="shared" si="6"/>
        <v>0</v>
      </c>
    </row>
    <row r="34" spans="1:7" ht="14.25" x14ac:dyDescent="0.45">
      <c r="A34" s="63" t="s">
        <v>388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f t="shared" si="6"/>
        <v>0</v>
      </c>
    </row>
    <row r="35" spans="1:7" x14ac:dyDescent="0.25">
      <c r="A35" s="63" t="s">
        <v>389</v>
      </c>
      <c r="B35" s="72">
        <v>0</v>
      </c>
      <c r="C35" s="72">
        <v>0</v>
      </c>
      <c r="D35" s="72">
        <v>0</v>
      </c>
      <c r="E35" s="72">
        <v>0</v>
      </c>
      <c r="F35" s="72">
        <v>0</v>
      </c>
      <c r="G35" s="72">
        <f t="shared" si="6"/>
        <v>0</v>
      </c>
    </row>
    <row r="36" spans="1:7" x14ac:dyDescent="0.25">
      <c r="A36" s="63" t="s">
        <v>390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2">
        <v>0</v>
      </c>
      <c r="C38" s="72">
        <v>0</v>
      </c>
      <c r="D38" s="72">
        <v>0</v>
      </c>
      <c r="E38" s="72">
        <v>0</v>
      </c>
      <c r="F38" s="72">
        <v>0</v>
      </c>
      <c r="G38" s="72">
        <f>D38-E38</f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 t="shared" ref="G39:G41" si="8">D39-E39</f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 t="shared" si="8"/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 t="shared" si="8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9">SUM(C44,C53,C61,C71)</f>
        <v>6889429.7299999995</v>
      </c>
      <c r="D43" s="73">
        <f t="shared" si="9"/>
        <v>6889429.7299999995</v>
      </c>
      <c r="E43" s="73">
        <f t="shared" si="9"/>
        <v>5026200.97</v>
      </c>
      <c r="F43" s="73">
        <f t="shared" si="9"/>
        <v>5024067.68</v>
      </c>
      <c r="G43" s="73">
        <f t="shared" si="9"/>
        <v>1863228.7599999998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11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11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11"/>
        <v>0</v>
      </c>
    </row>
    <row r="49" spans="1:7" x14ac:dyDescent="0.25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11"/>
        <v>0</v>
      </c>
    </row>
    <row r="50" spans="1:7" x14ac:dyDescent="0.25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11"/>
        <v>0</v>
      </c>
    </row>
    <row r="51" spans="1:7" x14ac:dyDescent="0.25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11"/>
        <v>0</v>
      </c>
    </row>
    <row r="52" spans="1:7" x14ac:dyDescent="0.25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6889429.7299999995</v>
      </c>
      <c r="D53" s="71">
        <f t="shared" si="12"/>
        <v>6889429.7299999995</v>
      </c>
      <c r="E53" s="71">
        <f t="shared" si="12"/>
        <v>5026200.97</v>
      </c>
      <c r="F53" s="71">
        <f t="shared" si="12"/>
        <v>5024067.68</v>
      </c>
      <c r="G53" s="71">
        <f t="shared" si="12"/>
        <v>1863228.7599999998</v>
      </c>
    </row>
    <row r="54" spans="1:7" x14ac:dyDescent="0.25">
      <c r="A54" s="69" t="s">
        <v>374</v>
      </c>
      <c r="B54" s="72">
        <v>0</v>
      </c>
      <c r="C54" s="72">
        <v>0</v>
      </c>
      <c r="D54" s="72">
        <v>0</v>
      </c>
      <c r="E54" s="72">
        <v>0</v>
      </c>
      <c r="F54" s="72">
        <v>0</v>
      </c>
      <c r="G54" s="72">
        <f>D54-E54</f>
        <v>0</v>
      </c>
    </row>
    <row r="55" spans="1:7" x14ac:dyDescent="0.25">
      <c r="A55" s="69" t="s">
        <v>375</v>
      </c>
      <c r="B55" s="72">
        <v>0</v>
      </c>
      <c r="C55" s="72">
        <v>0</v>
      </c>
      <c r="D55" s="72">
        <v>0</v>
      </c>
      <c r="E55" s="72">
        <v>0</v>
      </c>
      <c r="F55" s="72">
        <v>0</v>
      </c>
      <c r="G55" s="72">
        <f t="shared" ref="G55:G60" si="13">D55-E55</f>
        <v>0</v>
      </c>
    </row>
    <row r="56" spans="1:7" x14ac:dyDescent="0.25">
      <c r="A56" s="69" t="s">
        <v>376</v>
      </c>
      <c r="B56" s="72">
        <v>0</v>
      </c>
      <c r="C56" s="72">
        <v>0</v>
      </c>
      <c r="D56" s="72">
        <v>0</v>
      </c>
      <c r="E56" s="72">
        <v>0</v>
      </c>
      <c r="F56" s="72">
        <v>0</v>
      </c>
      <c r="G56" s="72">
        <f t="shared" si="13"/>
        <v>0</v>
      </c>
    </row>
    <row r="57" spans="1:7" x14ac:dyDescent="0.25">
      <c r="A57" s="48" t="s">
        <v>377</v>
      </c>
      <c r="B57" s="72">
        <v>0</v>
      </c>
      <c r="C57" s="72">
        <v>0</v>
      </c>
      <c r="D57" s="72">
        <v>0</v>
      </c>
      <c r="E57" s="72">
        <v>0</v>
      </c>
      <c r="F57" s="72">
        <v>0</v>
      </c>
      <c r="G57" s="72">
        <f t="shared" si="13"/>
        <v>0</v>
      </c>
    </row>
    <row r="58" spans="1:7" x14ac:dyDescent="0.25">
      <c r="A58" s="69" t="s">
        <v>378</v>
      </c>
      <c r="B58" s="72">
        <v>0</v>
      </c>
      <c r="C58" s="72">
        <v>0</v>
      </c>
      <c r="D58" s="72">
        <v>0</v>
      </c>
      <c r="E58" s="72">
        <v>0</v>
      </c>
      <c r="F58" s="72">
        <v>0</v>
      </c>
      <c r="G58" s="72">
        <f t="shared" si="13"/>
        <v>0</v>
      </c>
    </row>
    <row r="59" spans="1:7" x14ac:dyDescent="0.25">
      <c r="A59" s="69" t="s">
        <v>379</v>
      </c>
      <c r="B59" s="72">
        <v>0</v>
      </c>
      <c r="C59" s="72">
        <v>6889429.7299999995</v>
      </c>
      <c r="D59" s="72">
        <v>6889429.7299999995</v>
      </c>
      <c r="E59" s="72">
        <v>5026200.97</v>
      </c>
      <c r="F59" s="72">
        <v>5024067.68</v>
      </c>
      <c r="G59" s="72">
        <v>1863228.7599999998</v>
      </c>
    </row>
    <row r="60" spans="1:7" x14ac:dyDescent="0.25">
      <c r="A60" s="69" t="s">
        <v>380</v>
      </c>
      <c r="B60" s="72">
        <v>0</v>
      </c>
      <c r="C60" s="72">
        <v>0</v>
      </c>
      <c r="D60" s="72">
        <v>0</v>
      </c>
      <c r="E60" s="72">
        <v>0</v>
      </c>
      <c r="F60" s="72">
        <v>0</v>
      </c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2">
        <v>0</v>
      </c>
      <c r="C62" s="72">
        <v>0</v>
      </c>
      <c r="D62" s="72">
        <v>0</v>
      </c>
      <c r="E62" s="72">
        <v>0</v>
      </c>
      <c r="F62" s="72">
        <v>0</v>
      </c>
      <c r="G62" s="72">
        <f>D62-E62</f>
        <v>0</v>
      </c>
    </row>
    <row r="63" spans="1:7" x14ac:dyDescent="0.25">
      <c r="A63" s="69" t="s">
        <v>383</v>
      </c>
      <c r="B63" s="72">
        <v>0</v>
      </c>
      <c r="C63" s="72">
        <v>0</v>
      </c>
      <c r="D63" s="72">
        <v>0</v>
      </c>
      <c r="E63" s="72">
        <v>0</v>
      </c>
      <c r="F63" s="72">
        <v>0</v>
      </c>
      <c r="G63" s="72">
        <f t="shared" ref="G63:G70" si="15">D63-E63</f>
        <v>0</v>
      </c>
    </row>
    <row r="64" spans="1:7" x14ac:dyDescent="0.25">
      <c r="A64" s="69" t="s">
        <v>384</v>
      </c>
      <c r="B64" s="72">
        <v>0</v>
      </c>
      <c r="C64" s="72">
        <v>0</v>
      </c>
      <c r="D64" s="72">
        <v>0</v>
      </c>
      <c r="E64" s="72">
        <v>0</v>
      </c>
      <c r="F64" s="72">
        <v>0</v>
      </c>
      <c r="G64" s="72">
        <f t="shared" si="15"/>
        <v>0</v>
      </c>
    </row>
    <row r="65" spans="1:8" x14ac:dyDescent="0.25">
      <c r="A65" s="69" t="s">
        <v>385</v>
      </c>
      <c r="B65" s="72">
        <v>0</v>
      </c>
      <c r="C65" s="72">
        <v>0</v>
      </c>
      <c r="D65" s="72">
        <v>0</v>
      </c>
      <c r="E65" s="72">
        <v>0</v>
      </c>
      <c r="F65" s="72">
        <v>0</v>
      </c>
      <c r="G65" s="72">
        <f t="shared" si="15"/>
        <v>0</v>
      </c>
    </row>
    <row r="66" spans="1:8" x14ac:dyDescent="0.25">
      <c r="A66" s="69" t="s">
        <v>386</v>
      </c>
      <c r="B66" s="72">
        <v>0</v>
      </c>
      <c r="C66" s="72">
        <v>0</v>
      </c>
      <c r="D66" s="72">
        <v>0</v>
      </c>
      <c r="E66" s="72">
        <v>0</v>
      </c>
      <c r="F66" s="72">
        <v>0</v>
      </c>
      <c r="G66" s="72">
        <f t="shared" si="15"/>
        <v>0</v>
      </c>
    </row>
    <row r="67" spans="1:8" x14ac:dyDescent="0.25">
      <c r="A67" s="69" t="s">
        <v>387</v>
      </c>
      <c r="B67" s="72">
        <v>0</v>
      </c>
      <c r="C67" s="72">
        <v>0</v>
      </c>
      <c r="D67" s="72">
        <v>0</v>
      </c>
      <c r="E67" s="72">
        <v>0</v>
      </c>
      <c r="F67" s="72">
        <v>0</v>
      </c>
      <c r="G67" s="72">
        <f t="shared" si="15"/>
        <v>0</v>
      </c>
    </row>
    <row r="68" spans="1:8" x14ac:dyDescent="0.25">
      <c r="A68" s="69" t="s">
        <v>388</v>
      </c>
      <c r="B68" s="72">
        <v>0</v>
      </c>
      <c r="C68" s="72">
        <v>0</v>
      </c>
      <c r="D68" s="72">
        <v>0</v>
      </c>
      <c r="E68" s="72">
        <v>0</v>
      </c>
      <c r="F68" s="72">
        <v>0</v>
      </c>
      <c r="G68" s="72">
        <f t="shared" si="15"/>
        <v>0</v>
      </c>
    </row>
    <row r="69" spans="1:8" x14ac:dyDescent="0.25">
      <c r="A69" s="69" t="s">
        <v>389</v>
      </c>
      <c r="B69" s="72">
        <v>0</v>
      </c>
      <c r="C69" s="72">
        <v>0</v>
      </c>
      <c r="D69" s="72">
        <v>0</v>
      </c>
      <c r="E69" s="72">
        <v>0</v>
      </c>
      <c r="F69" s="72">
        <v>0</v>
      </c>
      <c r="G69" s="72">
        <f t="shared" si="15"/>
        <v>0</v>
      </c>
    </row>
    <row r="70" spans="1:8" x14ac:dyDescent="0.25">
      <c r="A70" s="69" t="s">
        <v>390</v>
      </c>
      <c r="B70" s="72">
        <v>0</v>
      </c>
      <c r="C70" s="72">
        <v>0</v>
      </c>
      <c r="D70" s="72">
        <v>0</v>
      </c>
      <c r="E70" s="72">
        <v>0</v>
      </c>
      <c r="F70" s="72">
        <v>0</v>
      </c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f>D72-E72</f>
        <v>0</v>
      </c>
    </row>
    <row r="73" spans="1:8" ht="30" x14ac:dyDescent="0.25">
      <c r="A73" s="69" t="s">
        <v>392</v>
      </c>
      <c r="B73" s="72">
        <v>0</v>
      </c>
      <c r="C73" s="72">
        <v>0</v>
      </c>
      <c r="D73" s="72">
        <v>0</v>
      </c>
      <c r="E73" s="72">
        <v>0</v>
      </c>
      <c r="F73" s="72">
        <v>0</v>
      </c>
      <c r="G73" s="72">
        <f t="shared" ref="G73:G75" si="17">D73-E73</f>
        <v>0</v>
      </c>
    </row>
    <row r="74" spans="1:8" x14ac:dyDescent="0.25">
      <c r="A74" s="69" t="s">
        <v>393</v>
      </c>
      <c r="B74" s="72">
        <v>0</v>
      </c>
      <c r="C74" s="72">
        <v>0</v>
      </c>
      <c r="D74" s="72">
        <v>0</v>
      </c>
      <c r="E74" s="72">
        <v>0</v>
      </c>
      <c r="F74" s="72">
        <v>0</v>
      </c>
      <c r="G74" s="72">
        <f t="shared" si="17"/>
        <v>0</v>
      </c>
    </row>
    <row r="75" spans="1:8" x14ac:dyDescent="0.25">
      <c r="A75" s="69" t="s">
        <v>394</v>
      </c>
      <c r="B75" s="72">
        <v>0</v>
      </c>
      <c r="C75" s="72">
        <v>0</v>
      </c>
      <c r="D75" s="72">
        <v>0</v>
      </c>
      <c r="E75" s="72">
        <v>0</v>
      </c>
      <c r="F75" s="72">
        <v>0</v>
      </c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129663403.99999999</v>
      </c>
      <c r="C77" s="73">
        <f t="shared" ref="C77:F77" si="18">C43+C9</f>
        <v>8530977.629999999</v>
      </c>
      <c r="D77" s="73">
        <f t="shared" si="18"/>
        <v>138194381.62999997</v>
      </c>
      <c r="E77" s="73">
        <f t="shared" si="18"/>
        <v>95573972.430000007</v>
      </c>
      <c r="F77" s="73">
        <f t="shared" si="18"/>
        <v>95569724.610000014</v>
      </c>
      <c r="G77" s="73">
        <f>G43+G9</f>
        <v>69974478.5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fitToHeight="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129663403.99999999</v>
      </c>
      <c r="Q2" s="18">
        <f>'Formato 6 c)'!C9</f>
        <v>1641547.8999999985</v>
      </c>
      <c r="R2" s="18">
        <f>'Formato 6 c)'!D9</f>
        <v>131304951.89999998</v>
      </c>
      <c r="S2" s="18">
        <f>'Formato 6 c)'!E9</f>
        <v>90547771.460000008</v>
      </c>
      <c r="T2" s="18">
        <f>'Formato 6 c)'!F9</f>
        <v>90545656.930000007</v>
      </c>
      <c r="U2" s="18">
        <f>'Formato 6 c)'!G9</f>
        <v>68111249.739999995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129663403.99999999</v>
      </c>
      <c r="Q12" s="18">
        <f>'Formato 6 c)'!C19</f>
        <v>1641547.8999999985</v>
      </c>
      <c r="R12" s="18">
        <f>'Formato 6 c)'!D19</f>
        <v>131304951.89999998</v>
      </c>
      <c r="S12" s="18">
        <f>'Formato 6 c)'!E19</f>
        <v>90547771.460000008</v>
      </c>
      <c r="T12" s="18">
        <f>'Formato 6 c)'!F19</f>
        <v>90545656.930000007</v>
      </c>
      <c r="U12" s="18">
        <f>'Formato 6 c)'!G19</f>
        <v>68111249.739999995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129663403.99999999</v>
      </c>
      <c r="Q18" s="18">
        <f>'Formato 6 c)'!C25</f>
        <v>1641547.8999999985</v>
      </c>
      <c r="R18" s="18">
        <f>'Formato 6 c)'!D25</f>
        <v>131304951.89999998</v>
      </c>
      <c r="S18" s="18">
        <f>'Formato 6 c)'!E25</f>
        <v>90547771.460000008</v>
      </c>
      <c r="T18" s="18">
        <f>'Formato 6 c)'!F25</f>
        <v>90545656.930000007</v>
      </c>
      <c r="U18" s="18">
        <f>'Formato 6 c)'!G25</f>
        <v>68111249.739999995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6889429.7299999995</v>
      </c>
      <c r="R35" s="18">
        <f>'Formato 6 c)'!D43</f>
        <v>6889429.7299999995</v>
      </c>
      <c r="S35" s="18">
        <f>'Formato 6 c)'!E43</f>
        <v>5026200.97</v>
      </c>
      <c r="T35" s="18">
        <f>'Formato 6 c)'!F43</f>
        <v>5024067.68</v>
      </c>
      <c r="U35" s="18">
        <f>'Formato 6 c)'!G43</f>
        <v>1863228.7599999998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6889429.7299999995</v>
      </c>
      <c r="R45" s="18">
        <f>'Formato 6 c)'!D53</f>
        <v>6889429.7299999995</v>
      </c>
      <c r="S45" s="18">
        <f>'Formato 6 c)'!E53</f>
        <v>5026200.97</v>
      </c>
      <c r="T45" s="18">
        <f>'Formato 6 c)'!F53</f>
        <v>5024067.68</v>
      </c>
      <c r="U45" s="18">
        <f>'Formato 6 c)'!G53</f>
        <v>1863228.7599999998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6889429.7299999995</v>
      </c>
      <c r="R51" s="18">
        <f>'Formato 6 c)'!D59</f>
        <v>6889429.7299999995</v>
      </c>
      <c r="S51" s="18">
        <f>'Formato 6 c)'!E59</f>
        <v>5026200.97</v>
      </c>
      <c r="T51" s="18">
        <f>'Formato 6 c)'!F59</f>
        <v>5024067.68</v>
      </c>
      <c r="U51" s="18">
        <f>'Formato 6 c)'!G59</f>
        <v>1863228.7599999998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129663403.99999999</v>
      </c>
      <c r="Q68" s="18">
        <f>'Formato 6 c)'!C77</f>
        <v>8530977.629999999</v>
      </c>
      <c r="R68" s="18">
        <f>'Formato 6 c)'!D77</f>
        <v>138194381.62999997</v>
      </c>
      <c r="S68" s="18">
        <f>'Formato 6 c)'!E77</f>
        <v>95573972.430000007</v>
      </c>
      <c r="T68" s="18">
        <f>'Formato 6 c)'!F77</f>
        <v>95569724.610000014</v>
      </c>
      <c r="U68" s="18">
        <f>'Formato 6 c)'!G77</f>
        <v>69974478.5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en el Municipio de Leon Guanajuato, Gobierno del Estado de Guanajuato</v>
      </c>
    </row>
    <row r="7" spans="2:3" ht="14.25" x14ac:dyDescent="0.45">
      <c r="C7" t="str">
        <f>CONCATENATE(ENTE_PUBLICO," (a)")</f>
        <v>Sistema para el Desarrollo Integral de la Familia en el Municipio de Leon Guanajuato,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2020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3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2020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2020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2020 (m = g – l)</v>
      </c>
    </row>
    <row r="20" spans="4:9" ht="60" x14ac:dyDescent="0.25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1" t="str">
        <f>CONCATENATE("Saldo al 31 de diciembre de ",ANIO_INFORME-1, " (d)")</f>
        <v>Saldo al 31 de diciembre de 2019 (d)</v>
      </c>
    </row>
    <row r="23" spans="4:9" x14ac:dyDescent="0.25">
      <c r="D23" s="33">
        <f>ANIO_INFORME + 1</f>
        <v>2021</v>
      </c>
      <c r="E23" s="34" t="str">
        <f>CONCATENATE(ANIO_INFORME + 2, " (d)")</f>
        <v>2022 (d)</v>
      </c>
      <c r="F23" s="34" t="str">
        <f>CONCATENATE(ANIO_INFORME + 3, " (d)")</f>
        <v>2023 (d)</v>
      </c>
      <c r="G23" s="34" t="str">
        <f>CONCATENATE(ANIO_INFORME + 4, " (d)")</f>
        <v>2024 (d)</v>
      </c>
      <c r="H23" s="34" t="str">
        <f>CONCATENATE(ANIO_INFORME + 5, " (d)")</f>
        <v>2025 (d)</v>
      </c>
      <c r="I23" s="34" t="str">
        <f>CONCATENATE(ANIO_INFORME + 6, " (d)")</f>
        <v>2026 (d)</v>
      </c>
    </row>
    <row r="25" spans="4:9" x14ac:dyDescent="0.25">
      <c r="D25" s="35" t="str">
        <f>CONCATENATE(ANIO_INFORME - 5, " ",CHAR(185)," (c)")</f>
        <v>2015 ¹ (c)</v>
      </c>
      <c r="E25" s="35" t="str">
        <f>CONCATENATE(ANIO_INFORME - 4, " ",CHAR(185)," (c)")</f>
        <v>2016 ¹ (c)</v>
      </c>
      <c r="F25" s="35" t="str">
        <f>CONCATENATE(ANIO_INFORME - 3, " ",CHAR(185)," (c)")</f>
        <v>2017 ¹ (c)</v>
      </c>
      <c r="G25" s="35" t="str">
        <f>CONCATENATE(ANIO_INFORME - 2, " ",CHAR(185)," (c)")</f>
        <v>2018 ¹ (c)</v>
      </c>
      <c r="H25" s="35" t="str">
        <f>CONCATENATE(ANIO_INFORME - 1, " ",CHAR(185)," (c)")</f>
        <v>2019 ¹ (c)</v>
      </c>
      <c r="I25" s="33">
        <f>ANIO_INFORME</f>
        <v>2020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tabSelected="1" topLeftCell="A7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3" t="s">
        <v>3287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ENTE_PUBLICO_A</f>
        <v>Sistema para el Desarrollo Integral de la Familia en el Municipio de Leon Guanajuato, Gobierno del Estado de Guanajuato (a)</v>
      </c>
      <c r="B2" s="155"/>
      <c r="C2" s="155"/>
      <c r="D2" s="155"/>
      <c r="E2" s="155"/>
      <c r="F2" s="155"/>
      <c r="G2" s="156"/>
    </row>
    <row r="3" spans="1:7" x14ac:dyDescent="0.25">
      <c r="A3" s="160" t="s">
        <v>277</v>
      </c>
      <c r="B3" s="161"/>
      <c r="C3" s="161"/>
      <c r="D3" s="161"/>
      <c r="E3" s="161"/>
      <c r="F3" s="161"/>
      <c r="G3" s="162"/>
    </row>
    <row r="4" spans="1:7" x14ac:dyDescent="0.25">
      <c r="A4" s="160" t="s">
        <v>399</v>
      </c>
      <c r="B4" s="161"/>
      <c r="C4" s="161"/>
      <c r="D4" s="161"/>
      <c r="E4" s="161"/>
      <c r="F4" s="161"/>
      <c r="G4" s="162"/>
    </row>
    <row r="5" spans="1:7" ht="14.25" x14ac:dyDescent="0.45">
      <c r="A5" s="160" t="str">
        <f>TRIMESTRE</f>
        <v>Del 1 de enero al 30 de septiembre de 2020 (b)</v>
      </c>
      <c r="B5" s="161"/>
      <c r="C5" s="161"/>
      <c r="D5" s="161"/>
      <c r="E5" s="161"/>
      <c r="F5" s="161"/>
      <c r="G5" s="162"/>
    </row>
    <row r="6" spans="1:7" ht="14.25" x14ac:dyDescent="0.45">
      <c r="A6" s="163" t="s">
        <v>118</v>
      </c>
      <c r="B6" s="164"/>
      <c r="C6" s="164"/>
      <c r="D6" s="164"/>
      <c r="E6" s="164"/>
      <c r="F6" s="164"/>
      <c r="G6" s="165"/>
    </row>
    <row r="7" spans="1:7" x14ac:dyDescent="0.25">
      <c r="A7" s="169" t="s">
        <v>361</v>
      </c>
      <c r="B7" s="174" t="s">
        <v>279</v>
      </c>
      <c r="C7" s="174"/>
      <c r="D7" s="174"/>
      <c r="E7" s="174"/>
      <c r="F7" s="174"/>
      <c r="G7" s="174" t="s">
        <v>280</v>
      </c>
    </row>
    <row r="8" spans="1:7" ht="29.25" customHeight="1" x14ac:dyDescent="0.25">
      <c r="A8" s="170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1"/>
    </row>
    <row r="9" spans="1:7" ht="14.25" x14ac:dyDescent="0.45">
      <c r="A9" s="52" t="s">
        <v>400</v>
      </c>
      <c r="B9" s="66">
        <f>SUM(B10,B11,B12,B15,B16,B19)</f>
        <v>105412830.21999998</v>
      </c>
      <c r="C9" s="66">
        <f t="shared" ref="C9:F9" si="0">SUM(C10,C11,C12,C15,C16,C19)</f>
        <v>0</v>
      </c>
      <c r="D9" s="66">
        <f t="shared" si="0"/>
        <v>105412830.21999998</v>
      </c>
      <c r="E9" s="66">
        <f t="shared" si="0"/>
        <v>76224212.340000004</v>
      </c>
      <c r="F9" s="66">
        <f t="shared" si="0"/>
        <v>76224212.340000004</v>
      </c>
      <c r="G9" s="66">
        <f>SUM(G10,G11,G12,G15,G16,G19)</f>
        <v>56542687.179999992</v>
      </c>
    </row>
    <row r="10" spans="1:7" x14ac:dyDescent="0.25">
      <c r="A10" s="53" t="s">
        <v>401</v>
      </c>
      <c r="B10" s="67">
        <v>105412830.21999998</v>
      </c>
      <c r="C10" s="67">
        <v>0</v>
      </c>
      <c r="D10" s="67">
        <v>105412830.21999998</v>
      </c>
      <c r="E10" s="67">
        <v>76224212.340000004</v>
      </c>
      <c r="F10" s="67">
        <v>76224212.340000004</v>
      </c>
      <c r="G10" s="67">
        <v>56542687.179999992</v>
      </c>
    </row>
    <row r="11" spans="1:7" ht="14.25" x14ac:dyDescent="0.4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105412830.21999998</v>
      </c>
      <c r="C33" s="66">
        <f t="shared" ref="C33:G33" si="9">C21+C9</f>
        <v>0</v>
      </c>
      <c r="D33" s="66">
        <f t="shared" si="9"/>
        <v>105412830.21999998</v>
      </c>
      <c r="E33" s="66">
        <f t="shared" si="9"/>
        <v>76224212.340000004</v>
      </c>
      <c r="F33" s="66">
        <f t="shared" si="9"/>
        <v>76224212.340000004</v>
      </c>
      <c r="G33" s="66">
        <f t="shared" si="9"/>
        <v>56542687.179999992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105412830.21999998</v>
      </c>
      <c r="Q2" s="18">
        <f>'Formato 6 d)'!C9</f>
        <v>0</v>
      </c>
      <c r="R2" s="18">
        <f>'Formato 6 d)'!D9</f>
        <v>105412830.21999998</v>
      </c>
      <c r="S2" s="18">
        <f>'Formato 6 d)'!E9</f>
        <v>76224212.340000004</v>
      </c>
      <c r="T2" s="18">
        <f>'Formato 6 d)'!F9</f>
        <v>76224212.340000004</v>
      </c>
      <c r="U2" s="18">
        <f>'Formato 6 d)'!G9</f>
        <v>56542687.179999992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105412830.21999998</v>
      </c>
      <c r="Q3" s="18">
        <f>'Formato 6 d)'!C10</f>
        <v>0</v>
      </c>
      <c r="R3" s="18">
        <f>'Formato 6 d)'!D10</f>
        <v>105412830.21999998</v>
      </c>
      <c r="S3" s="18">
        <f>'Formato 6 d)'!E10</f>
        <v>76224212.340000004</v>
      </c>
      <c r="T3" s="18">
        <f>'Formato 6 d)'!F10</f>
        <v>76224212.340000004</v>
      </c>
      <c r="U3" s="18">
        <f>'Formato 6 d)'!G10</f>
        <v>56542687.179999992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105412830.21999998</v>
      </c>
      <c r="Q24" s="18">
        <f>'Formato 6 d)'!C33</f>
        <v>0</v>
      </c>
      <c r="R24" s="18">
        <f>'Formato 6 d)'!D33</f>
        <v>105412830.21999998</v>
      </c>
      <c r="S24" s="18">
        <f>'Formato 6 d)'!E33</f>
        <v>76224212.340000004</v>
      </c>
      <c r="T24" s="18">
        <f>'Formato 6 d)'!F33</f>
        <v>76224212.340000004</v>
      </c>
      <c r="U24" s="18">
        <f>'Formato 6 d)'!G33</f>
        <v>56542687.179999992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abSelected="1" zoomScale="85" zoomScaleNormal="85" zoomScalePageLayoutView="90" workbookViewId="0">
      <selection activeCell="A3" sqref="C3:D3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2" t="s">
        <v>413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ENTIDAD</f>
        <v>Municipio de León, Gobierno del Estado de Guanajuato</v>
      </c>
      <c r="B2" s="155"/>
      <c r="C2" s="155"/>
      <c r="D2" s="155"/>
      <c r="E2" s="155"/>
      <c r="F2" s="155"/>
      <c r="G2" s="156"/>
    </row>
    <row r="3" spans="1:7" ht="14.25" x14ac:dyDescent="0.45">
      <c r="A3" s="157" t="s">
        <v>414</v>
      </c>
      <c r="B3" s="158"/>
      <c r="C3" s="158"/>
      <c r="D3" s="158"/>
      <c r="E3" s="158"/>
      <c r="F3" s="158"/>
      <c r="G3" s="159"/>
    </row>
    <row r="4" spans="1:7" ht="14.25" x14ac:dyDescent="0.45">
      <c r="A4" s="157" t="s">
        <v>118</v>
      </c>
      <c r="B4" s="158"/>
      <c r="C4" s="158"/>
      <c r="D4" s="158"/>
      <c r="E4" s="158"/>
      <c r="F4" s="158"/>
      <c r="G4" s="159"/>
    </row>
    <row r="5" spans="1:7" ht="14.25" x14ac:dyDescent="0.45">
      <c r="A5" s="157" t="s">
        <v>415</v>
      </c>
      <c r="B5" s="158"/>
      <c r="C5" s="158"/>
      <c r="D5" s="158"/>
      <c r="E5" s="158"/>
      <c r="F5" s="158"/>
      <c r="G5" s="159"/>
    </row>
    <row r="6" spans="1:7" x14ac:dyDescent="0.25">
      <c r="A6" s="169" t="s">
        <v>3288</v>
      </c>
      <c r="B6" s="51">
        <f>ANIO1P</f>
        <v>2021</v>
      </c>
      <c r="C6" s="182" t="str">
        <f>ANIO2P</f>
        <v>2022 (d)</v>
      </c>
      <c r="D6" s="182" t="str">
        <f>ANIO3P</f>
        <v>2023 (d)</v>
      </c>
      <c r="E6" s="182" t="str">
        <f>ANIO4P</f>
        <v>2024 (d)</v>
      </c>
      <c r="F6" s="182" t="str">
        <f>ANIO5P</f>
        <v>2025 (d)</v>
      </c>
      <c r="G6" s="182" t="str">
        <f>ANIO6P</f>
        <v>2026 (d)</v>
      </c>
    </row>
    <row r="7" spans="1:7" ht="48" customHeight="1" x14ac:dyDescent="0.25">
      <c r="A7" s="170"/>
      <c r="B7" s="88" t="s">
        <v>3291</v>
      </c>
      <c r="C7" s="183"/>
      <c r="D7" s="183"/>
      <c r="E7" s="183"/>
      <c r="F7" s="183"/>
      <c r="G7" s="183"/>
    </row>
    <row r="8" spans="1:7" x14ac:dyDescent="0.25">
      <c r="A8" s="52" t="s">
        <v>421</v>
      </c>
      <c r="B8" s="59">
        <f>SUM(B9:B20)</f>
        <v>129663403.99977499</v>
      </c>
      <c r="C8" s="59">
        <f t="shared" ref="C8:G8" si="0">SUM(C9:C20)</f>
        <v>136146574.19976377</v>
      </c>
      <c r="D8" s="59">
        <f t="shared" si="0"/>
        <v>142953902.90975195</v>
      </c>
      <c r="E8" s="59">
        <f t="shared" si="0"/>
        <v>150101598.05523956</v>
      </c>
      <c r="F8" s="59">
        <f t="shared" si="0"/>
        <v>157606677.95800152</v>
      </c>
      <c r="G8" s="59">
        <f t="shared" si="0"/>
        <v>165487011.8559016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7041843.9699999997</v>
      </c>
      <c r="C12" s="60">
        <f>B12*1.05</f>
        <v>7393936.1684999997</v>
      </c>
      <c r="D12" s="60">
        <f>C12*1.05</f>
        <v>7763632.9769249996</v>
      </c>
      <c r="E12" s="60">
        <f>D12*1.05</f>
        <v>8151814.6257712496</v>
      </c>
      <c r="F12" s="60">
        <f>E12*1.05</f>
        <v>8559405.3570598122</v>
      </c>
      <c r="G12" s="60">
        <f>F12*1.05</f>
        <v>8987375.624912804</v>
      </c>
    </row>
    <row r="13" spans="1:7" x14ac:dyDescent="0.25">
      <c r="A13" s="53" t="s">
        <v>220</v>
      </c>
      <c r="B13" s="60">
        <v>4436891.6010000007</v>
      </c>
      <c r="C13" s="60">
        <f t="shared" ref="C13:G14" si="1">B13*1.05</f>
        <v>4658736.1810500007</v>
      </c>
      <c r="D13" s="60">
        <f t="shared" si="1"/>
        <v>4891672.9901025007</v>
      </c>
      <c r="E13" s="60">
        <f t="shared" si="1"/>
        <v>5136256.639607626</v>
      </c>
      <c r="F13" s="60">
        <f t="shared" si="1"/>
        <v>5393069.4715880072</v>
      </c>
      <c r="G13" s="60">
        <f t="shared" si="1"/>
        <v>5662722.9451674074</v>
      </c>
    </row>
    <row r="14" spans="1:7" x14ac:dyDescent="0.25">
      <c r="A14" s="53" t="s">
        <v>221</v>
      </c>
      <c r="B14" s="60">
        <v>4387827.4287750004</v>
      </c>
      <c r="C14" s="60">
        <f t="shared" si="1"/>
        <v>4607218.8002137505</v>
      </c>
      <c r="D14" s="60">
        <f t="shared" si="1"/>
        <v>4837579.7402244378</v>
      </c>
      <c r="E14" s="60">
        <f t="shared" si="1"/>
        <v>5079458.72723566</v>
      </c>
      <c r="F14" s="60">
        <f t="shared" si="1"/>
        <v>5333431.6635974431</v>
      </c>
      <c r="G14" s="60">
        <f t="shared" si="1"/>
        <v>5600103.2467773156</v>
      </c>
    </row>
    <row r="15" spans="1:7" x14ac:dyDescent="0.25">
      <c r="A15" s="53" t="s">
        <v>417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60">
        <v>113796841</v>
      </c>
      <c r="C18" s="60">
        <f>B18*1.05</f>
        <v>119486683.05000001</v>
      </c>
      <c r="D18" s="60">
        <f t="shared" ref="D18:G18" si="2">C18*1.05</f>
        <v>125461017.20250002</v>
      </c>
      <c r="E18" s="60">
        <f t="shared" si="2"/>
        <v>131734068.06262502</v>
      </c>
      <c r="F18" s="60">
        <f t="shared" si="2"/>
        <v>138320771.46575627</v>
      </c>
      <c r="G18" s="60">
        <f t="shared" si="2"/>
        <v>145236810.03904408</v>
      </c>
    </row>
    <row r="19" spans="1:7" x14ac:dyDescent="0.25">
      <c r="A19" s="53" t="s">
        <v>241</v>
      </c>
      <c r="B19" s="60"/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0</v>
      </c>
      <c r="C22" s="61">
        <f t="shared" ref="C22:G22" si="3">SUM(C23:C27)</f>
        <v>0</v>
      </c>
      <c r="D22" s="61">
        <f t="shared" si="3"/>
        <v>0</v>
      </c>
      <c r="E22" s="61">
        <f t="shared" si="3"/>
        <v>0</v>
      </c>
      <c r="F22" s="61">
        <f t="shared" si="3"/>
        <v>0</v>
      </c>
      <c r="G22" s="61">
        <f t="shared" si="3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4">C30</f>
        <v>0</v>
      </c>
      <c r="D29" s="61">
        <f t="shared" si="4"/>
        <v>0</v>
      </c>
      <c r="E29" s="61">
        <f t="shared" si="4"/>
        <v>0</v>
      </c>
      <c r="F29" s="61">
        <f t="shared" si="4"/>
        <v>0</v>
      </c>
      <c r="G29" s="61">
        <f t="shared" si="4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129663403.99977499</v>
      </c>
      <c r="C32" s="61">
        <f t="shared" ref="C32:F32" si="5">C29+C22+C8</f>
        <v>136146574.19976377</v>
      </c>
      <c r="D32" s="61">
        <f t="shared" si="5"/>
        <v>142953902.90975195</v>
      </c>
      <c r="E32" s="61">
        <f t="shared" si="5"/>
        <v>150101598.05523956</v>
      </c>
      <c r="F32" s="61">
        <f t="shared" si="5"/>
        <v>157606677.95800152</v>
      </c>
      <c r="G32" s="61">
        <f>G29+G22+G8</f>
        <v>165487011.8559016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6">C36+C35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129663403.99977499</v>
      </c>
      <c r="Q2" s="18">
        <f>'Formato 7 a)'!C8</f>
        <v>136146574.19976377</v>
      </c>
      <c r="R2" s="18">
        <f>'Formato 7 a)'!D8</f>
        <v>142953902.90975195</v>
      </c>
      <c r="S2" s="18">
        <f>'Formato 7 a)'!E8</f>
        <v>150101598.05523956</v>
      </c>
      <c r="T2" s="18">
        <f>'Formato 7 a)'!F8</f>
        <v>157606677.95800152</v>
      </c>
      <c r="U2" s="18">
        <f>'Formato 7 a)'!G8</f>
        <v>165487011.8559016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7041843.9699999997</v>
      </c>
      <c r="Q6" s="18">
        <f>'Formato 7 a)'!C12</f>
        <v>7393936.1684999997</v>
      </c>
      <c r="R6" s="18">
        <f>'Formato 7 a)'!D12</f>
        <v>7763632.9769249996</v>
      </c>
      <c r="S6" s="18">
        <f>'Formato 7 a)'!E12</f>
        <v>8151814.6257712496</v>
      </c>
      <c r="T6" s="18">
        <f>'Formato 7 a)'!F12</f>
        <v>8559405.3570598122</v>
      </c>
      <c r="U6" s="18">
        <f>'Formato 7 a)'!G12</f>
        <v>8987375.624912804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4436891.6010000007</v>
      </c>
      <c r="Q7" s="18">
        <f>'Formato 7 a)'!C13</f>
        <v>4658736.1810500007</v>
      </c>
      <c r="R7" s="18">
        <f>'Formato 7 a)'!D13</f>
        <v>4891672.9901025007</v>
      </c>
      <c r="S7" s="18">
        <f>'Formato 7 a)'!E13</f>
        <v>5136256.639607626</v>
      </c>
      <c r="T7" s="18">
        <f>'Formato 7 a)'!F13</f>
        <v>5393069.4715880072</v>
      </c>
      <c r="U7" s="18">
        <f>'Formato 7 a)'!G13</f>
        <v>5662722.9451674074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4387827.4287750004</v>
      </c>
      <c r="Q8" s="18">
        <f>'Formato 7 a)'!C14</f>
        <v>4607218.8002137505</v>
      </c>
      <c r="R8" s="18">
        <f>'Formato 7 a)'!D14</f>
        <v>4837579.7402244378</v>
      </c>
      <c r="S8" s="18">
        <f>'Formato 7 a)'!E14</f>
        <v>5079458.72723566</v>
      </c>
      <c r="T8" s="18">
        <f>'Formato 7 a)'!F14</f>
        <v>5333431.6635974431</v>
      </c>
      <c r="U8" s="18">
        <f>'Formato 7 a)'!G14</f>
        <v>5600103.2467773156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113796841</v>
      </c>
      <c r="Q12" s="18">
        <f>'Formato 7 a)'!C18</f>
        <v>119486683.05000001</v>
      </c>
      <c r="R12" s="18">
        <f>'Formato 7 a)'!D18</f>
        <v>125461017.20250002</v>
      </c>
      <c r="S12" s="18">
        <f>'Formato 7 a)'!E18</f>
        <v>131734068.06262502</v>
      </c>
      <c r="T12" s="18">
        <f>'Formato 7 a)'!F18</f>
        <v>138320771.46575627</v>
      </c>
      <c r="U12" s="18">
        <f>'Formato 7 a)'!G18</f>
        <v>145236810.03904408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129663403.99977499</v>
      </c>
      <c r="Q23" s="18">
        <f>'Formato 7 a)'!C32</f>
        <v>136146574.19976377</v>
      </c>
      <c r="R23" s="18">
        <f>'Formato 7 a)'!D32</f>
        <v>142953902.90975195</v>
      </c>
      <c r="S23" s="18">
        <f>'Formato 7 a)'!E32</f>
        <v>150101598.05523956</v>
      </c>
      <c r="T23" s="18">
        <f>'Formato 7 a)'!F32</f>
        <v>157606677.95800152</v>
      </c>
      <c r="U23" s="18">
        <f>'Formato 7 a)'!G32</f>
        <v>165487011.8559016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tabSelected="1" topLeftCell="A25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2" t="s">
        <v>451</v>
      </c>
      <c r="B1" s="172"/>
      <c r="C1" s="172"/>
      <c r="D1" s="172"/>
      <c r="E1" s="172"/>
      <c r="F1" s="172"/>
      <c r="G1" s="172"/>
    </row>
    <row r="2" spans="1:7" customFormat="1" ht="14.25" x14ac:dyDescent="0.45">
      <c r="A2" s="154" t="str">
        <f>ENTIDAD</f>
        <v>Municipio de León, Gobierno del Estado de Guanajuato</v>
      </c>
      <c r="B2" s="155"/>
      <c r="C2" s="155"/>
      <c r="D2" s="155"/>
      <c r="E2" s="155"/>
      <c r="F2" s="155"/>
      <c r="G2" s="156"/>
    </row>
    <row r="3" spans="1:7" customFormat="1" ht="14.25" x14ac:dyDescent="0.45">
      <c r="A3" s="157" t="s">
        <v>452</v>
      </c>
      <c r="B3" s="158"/>
      <c r="C3" s="158"/>
      <c r="D3" s="158"/>
      <c r="E3" s="158"/>
      <c r="F3" s="158"/>
      <c r="G3" s="159"/>
    </row>
    <row r="4" spans="1:7" customFormat="1" ht="14.25" x14ac:dyDescent="0.45">
      <c r="A4" s="157" t="s">
        <v>118</v>
      </c>
      <c r="B4" s="158"/>
      <c r="C4" s="158"/>
      <c r="D4" s="158"/>
      <c r="E4" s="158"/>
      <c r="F4" s="158"/>
      <c r="G4" s="159"/>
    </row>
    <row r="5" spans="1:7" customFormat="1" ht="14.25" x14ac:dyDescent="0.45">
      <c r="A5" s="157" t="s">
        <v>415</v>
      </c>
      <c r="B5" s="158"/>
      <c r="C5" s="158"/>
      <c r="D5" s="158"/>
      <c r="E5" s="158"/>
      <c r="F5" s="158"/>
      <c r="G5" s="159"/>
    </row>
    <row r="6" spans="1:7" customFormat="1" x14ac:dyDescent="0.25">
      <c r="A6" s="184" t="s">
        <v>3142</v>
      </c>
      <c r="B6" s="51">
        <f>ANIO1P</f>
        <v>2021</v>
      </c>
      <c r="C6" s="182" t="str">
        <f>ANIO2P</f>
        <v>2022 (d)</v>
      </c>
      <c r="D6" s="182" t="str">
        <f>ANIO3P</f>
        <v>2023 (d)</v>
      </c>
      <c r="E6" s="182" t="str">
        <f>ANIO4P</f>
        <v>2024 (d)</v>
      </c>
      <c r="F6" s="182" t="str">
        <f>ANIO5P</f>
        <v>2025 (d)</v>
      </c>
      <c r="G6" s="182" t="str">
        <f>ANIO6P</f>
        <v>2026 (d)</v>
      </c>
    </row>
    <row r="7" spans="1:7" customFormat="1" ht="48" customHeight="1" x14ac:dyDescent="0.25">
      <c r="A7" s="185"/>
      <c r="B7" s="88" t="s">
        <v>3291</v>
      </c>
      <c r="C7" s="183"/>
      <c r="D7" s="183"/>
      <c r="E7" s="183"/>
      <c r="F7" s="183"/>
      <c r="G7" s="183"/>
    </row>
    <row r="8" spans="1:7" x14ac:dyDescent="0.25">
      <c r="A8" s="52" t="s">
        <v>453</v>
      </c>
      <c r="B8" s="59">
        <f>SUM(B9:B17)</f>
        <v>129663404.00310636</v>
      </c>
      <c r="C8" s="59">
        <f t="shared" ref="C8:G8" si="0">SUM(C9:C17)</f>
        <v>136146574.20326167</v>
      </c>
      <c r="D8" s="59">
        <f t="shared" si="0"/>
        <v>142953902.91342476</v>
      </c>
      <c r="E8" s="59">
        <f t="shared" si="0"/>
        <v>150101598.05909601</v>
      </c>
      <c r="F8" s="59">
        <f t="shared" si="0"/>
        <v>157606677.9620508</v>
      </c>
      <c r="G8" s="59">
        <f t="shared" si="0"/>
        <v>165487011.86015335</v>
      </c>
    </row>
    <row r="9" spans="1:7" x14ac:dyDescent="0.25">
      <c r="A9" s="53" t="s">
        <v>454</v>
      </c>
      <c r="B9" s="60">
        <v>105412830.21819453</v>
      </c>
      <c r="C9" s="60">
        <f>B9*1.05</f>
        <v>110683471.72910427</v>
      </c>
      <c r="D9" s="60">
        <f>C9*1.05</f>
        <v>116217645.31555948</v>
      </c>
      <c r="E9" s="60">
        <f>D9*1.05</f>
        <v>122028527.58133745</v>
      </c>
      <c r="F9" s="60">
        <f>E9*1.05</f>
        <v>128129953.96040434</v>
      </c>
      <c r="G9" s="60">
        <f>F9*1.05</f>
        <v>134536451.65842456</v>
      </c>
    </row>
    <row r="10" spans="1:7" x14ac:dyDescent="0.25">
      <c r="A10" s="53" t="s">
        <v>455</v>
      </c>
      <c r="B10" s="60">
        <v>4438025.3324212823</v>
      </c>
      <c r="C10" s="60">
        <f t="shared" ref="C10:G13" si="1">B10*1.05</f>
        <v>4659926.5990423467</v>
      </c>
      <c r="D10" s="60">
        <f t="shared" si="1"/>
        <v>4892922.9289944647</v>
      </c>
      <c r="E10" s="60">
        <f t="shared" si="1"/>
        <v>5137569.075444188</v>
      </c>
      <c r="F10" s="60">
        <f t="shared" si="1"/>
        <v>5394447.5292163976</v>
      </c>
      <c r="G10" s="60">
        <f t="shared" si="1"/>
        <v>5664169.905677218</v>
      </c>
    </row>
    <row r="11" spans="1:7" x14ac:dyDescent="0.25">
      <c r="A11" s="53" t="s">
        <v>456</v>
      </c>
      <c r="B11" s="60">
        <v>16522548.452490535</v>
      </c>
      <c r="C11" s="60">
        <f t="shared" si="1"/>
        <v>17348675.875115063</v>
      </c>
      <c r="D11" s="60">
        <f t="shared" si="1"/>
        <v>18216109.668870818</v>
      </c>
      <c r="E11" s="60">
        <f t="shared" si="1"/>
        <v>19126915.152314361</v>
      </c>
      <c r="F11" s="60">
        <f t="shared" si="1"/>
        <v>20083260.90993008</v>
      </c>
      <c r="G11" s="60">
        <f t="shared" si="1"/>
        <v>21087423.955426585</v>
      </c>
    </row>
    <row r="12" spans="1:7" x14ac:dyDescent="0.25">
      <c r="A12" s="53" t="s">
        <v>457</v>
      </c>
      <c r="B12" s="60">
        <v>3100000</v>
      </c>
      <c r="C12" s="60">
        <f t="shared" si="1"/>
        <v>3255000</v>
      </c>
      <c r="D12" s="60">
        <f t="shared" si="1"/>
        <v>3417750</v>
      </c>
      <c r="E12" s="60">
        <f t="shared" si="1"/>
        <v>3588637.5</v>
      </c>
      <c r="F12" s="60">
        <f t="shared" si="1"/>
        <v>3768069.375</v>
      </c>
      <c r="G12" s="60">
        <f t="shared" si="1"/>
        <v>3956472.84375</v>
      </c>
    </row>
    <row r="13" spans="1:7" x14ac:dyDescent="0.25">
      <c r="A13" s="53" t="s">
        <v>458</v>
      </c>
      <c r="B13" s="60">
        <v>190000</v>
      </c>
      <c r="C13" s="60">
        <f t="shared" si="1"/>
        <v>199500</v>
      </c>
      <c r="D13" s="60">
        <f t="shared" si="1"/>
        <v>209475</v>
      </c>
      <c r="E13" s="60">
        <f t="shared" si="1"/>
        <v>219948.75</v>
      </c>
      <c r="F13" s="60">
        <f t="shared" si="1"/>
        <v>230946.1875</v>
      </c>
      <c r="G13" s="60">
        <f t="shared" si="1"/>
        <v>242493.49687500001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2">SUM(C20:C28)</f>
        <v>0</v>
      </c>
      <c r="D19" s="61">
        <f t="shared" si="2"/>
        <v>0</v>
      </c>
      <c r="E19" s="61">
        <f t="shared" si="2"/>
        <v>0</v>
      </c>
      <c r="F19" s="61">
        <f t="shared" si="2"/>
        <v>0</v>
      </c>
      <c r="G19" s="61">
        <f t="shared" si="2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ht="14.25" x14ac:dyDescent="0.4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129663404.00310636</v>
      </c>
      <c r="C30" s="61">
        <f t="shared" ref="C30:G30" si="3">C8+C19</f>
        <v>136146574.20326167</v>
      </c>
      <c r="D30" s="61">
        <f t="shared" si="3"/>
        <v>142953902.91342476</v>
      </c>
      <c r="E30" s="61">
        <f t="shared" si="3"/>
        <v>150101598.05909601</v>
      </c>
      <c r="F30" s="61">
        <f t="shared" si="3"/>
        <v>157606677.9620508</v>
      </c>
      <c r="G30" s="61">
        <f t="shared" si="3"/>
        <v>165487011.86015335</v>
      </c>
    </row>
    <row r="31" spans="1:7" ht="14.25" x14ac:dyDescent="0.4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129663404.00310636</v>
      </c>
      <c r="Q2" s="18">
        <f>'Formato 7 b)'!C8</f>
        <v>136146574.20326167</v>
      </c>
      <c r="R2" s="18">
        <f>'Formato 7 b)'!D8</f>
        <v>142953902.91342476</v>
      </c>
      <c r="S2" s="18">
        <f>'Formato 7 b)'!E8</f>
        <v>150101598.05909601</v>
      </c>
      <c r="T2" s="18">
        <f>'Formato 7 b)'!F8</f>
        <v>157606677.9620508</v>
      </c>
      <c r="U2" s="18">
        <f>'Formato 7 b)'!G8</f>
        <v>165487011.86015335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105412830.21819453</v>
      </c>
      <c r="Q3" s="18">
        <f>'Formato 7 b)'!C9</f>
        <v>110683471.72910427</v>
      </c>
      <c r="R3" s="18">
        <f>'Formato 7 b)'!D9</f>
        <v>116217645.31555948</v>
      </c>
      <c r="S3" s="18">
        <f>'Formato 7 b)'!E9</f>
        <v>122028527.58133745</v>
      </c>
      <c r="T3" s="18">
        <f>'Formato 7 b)'!F9</f>
        <v>128129953.96040434</v>
      </c>
      <c r="U3" s="18">
        <f>'Formato 7 b)'!G9</f>
        <v>134536451.65842456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4438025.3324212823</v>
      </c>
      <c r="Q4" s="18">
        <f>'Formato 7 b)'!C10</f>
        <v>4659926.5990423467</v>
      </c>
      <c r="R4" s="18">
        <f>'Formato 7 b)'!D10</f>
        <v>4892922.9289944647</v>
      </c>
      <c r="S4" s="18">
        <f>'Formato 7 b)'!E10</f>
        <v>5137569.075444188</v>
      </c>
      <c r="T4" s="18">
        <f>'Formato 7 b)'!F10</f>
        <v>5394447.5292163976</v>
      </c>
      <c r="U4" s="18">
        <f>'Formato 7 b)'!G10</f>
        <v>5664169.905677218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16522548.452490535</v>
      </c>
      <c r="Q5" s="18">
        <f>'Formato 7 b)'!C11</f>
        <v>17348675.875115063</v>
      </c>
      <c r="R5" s="18">
        <f>'Formato 7 b)'!D11</f>
        <v>18216109.668870818</v>
      </c>
      <c r="S5" s="18">
        <f>'Formato 7 b)'!E11</f>
        <v>19126915.152314361</v>
      </c>
      <c r="T5" s="18">
        <f>'Formato 7 b)'!F11</f>
        <v>20083260.90993008</v>
      </c>
      <c r="U5" s="18">
        <f>'Formato 7 b)'!G11</f>
        <v>21087423.955426585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3100000</v>
      </c>
      <c r="Q6" s="18">
        <f>'Formato 7 b)'!C12</f>
        <v>3255000</v>
      </c>
      <c r="R6" s="18">
        <f>'Formato 7 b)'!D12</f>
        <v>3417750</v>
      </c>
      <c r="S6" s="18">
        <f>'Formato 7 b)'!E12</f>
        <v>3588637.5</v>
      </c>
      <c r="T6" s="18">
        <f>'Formato 7 b)'!F12</f>
        <v>3768069.375</v>
      </c>
      <c r="U6" s="18">
        <f>'Formato 7 b)'!G12</f>
        <v>3956472.84375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190000</v>
      </c>
      <c r="Q7" s="18">
        <f>'Formato 7 b)'!C13</f>
        <v>199500</v>
      </c>
      <c r="R7" s="18">
        <f>'Formato 7 b)'!D13</f>
        <v>209475</v>
      </c>
      <c r="S7" s="18">
        <f>'Formato 7 b)'!E13</f>
        <v>219948.75</v>
      </c>
      <c r="T7" s="18">
        <f>'Formato 7 b)'!F13</f>
        <v>230946.1875</v>
      </c>
      <c r="U7" s="18">
        <f>'Formato 7 b)'!G13</f>
        <v>242493.49687500001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129663404.00310636</v>
      </c>
      <c r="Q22" s="18">
        <f>'Formato 7 b)'!C30</f>
        <v>136146574.20326167</v>
      </c>
      <c r="R22" s="18">
        <f>'Formato 7 b)'!D30</f>
        <v>142953902.91342476</v>
      </c>
      <c r="S22" s="18">
        <f>'Formato 7 b)'!E30</f>
        <v>150101598.05909601</v>
      </c>
      <c r="T22" s="18">
        <f>'Formato 7 b)'!F30</f>
        <v>157606677.9620508</v>
      </c>
      <c r="U22" s="18">
        <f>'Formato 7 b)'!G30</f>
        <v>165487011.86015335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2" t="s">
        <v>466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ENTIDAD</f>
        <v>Municipio de León, Gobierno del Estado de Guanajuato</v>
      </c>
      <c r="B2" s="155"/>
      <c r="C2" s="155"/>
      <c r="D2" s="155"/>
      <c r="E2" s="155"/>
      <c r="F2" s="155"/>
      <c r="G2" s="156"/>
    </row>
    <row r="3" spans="1:7" ht="14.25" x14ac:dyDescent="0.45">
      <c r="A3" s="157" t="s">
        <v>467</v>
      </c>
      <c r="B3" s="158"/>
      <c r="C3" s="158"/>
      <c r="D3" s="158"/>
      <c r="E3" s="158"/>
      <c r="F3" s="158"/>
      <c r="G3" s="159"/>
    </row>
    <row r="4" spans="1:7" ht="14.25" x14ac:dyDescent="0.45">
      <c r="A4" s="163" t="s">
        <v>118</v>
      </c>
      <c r="B4" s="164"/>
      <c r="C4" s="164"/>
      <c r="D4" s="164"/>
      <c r="E4" s="164"/>
      <c r="F4" s="164"/>
      <c r="G4" s="165"/>
    </row>
    <row r="5" spans="1:7" x14ac:dyDescent="0.25">
      <c r="A5" s="189" t="s">
        <v>3288</v>
      </c>
      <c r="B5" s="187" t="str">
        <f>ANIO5R</f>
        <v>2015 ¹ (c)</v>
      </c>
      <c r="C5" s="187" t="str">
        <f>ANIO4R</f>
        <v>2016 ¹ (c)</v>
      </c>
      <c r="D5" s="187" t="str">
        <f>ANIO3R</f>
        <v>2017 ¹ (c)</v>
      </c>
      <c r="E5" s="187" t="str">
        <f>ANIO2R</f>
        <v>2018 ¹ (c)</v>
      </c>
      <c r="F5" s="187" t="str">
        <f>ANIO1R</f>
        <v>2019 ¹ (c)</v>
      </c>
      <c r="G5" s="51">
        <f>ANIO_INFORME</f>
        <v>2020</v>
      </c>
    </row>
    <row r="6" spans="1:7" ht="32.1" customHeight="1" x14ac:dyDescent="0.25">
      <c r="A6" s="190"/>
      <c r="B6" s="188"/>
      <c r="C6" s="188"/>
      <c r="D6" s="188"/>
      <c r="E6" s="188"/>
      <c r="F6" s="188"/>
      <c r="G6" s="88" t="s">
        <v>3294</v>
      </c>
    </row>
    <row r="7" spans="1:7" x14ac:dyDescent="0.25">
      <c r="A7" s="52" t="s">
        <v>468</v>
      </c>
      <c r="B7" s="59">
        <f>SUM(B8:B19)</f>
        <v>97906433.390000001</v>
      </c>
      <c r="C7" s="59">
        <f t="shared" ref="C7:G7" si="0">SUM(C8:C19)</f>
        <v>97037069.319999993</v>
      </c>
      <c r="D7" s="59">
        <f t="shared" si="0"/>
        <v>99335220.649999991</v>
      </c>
      <c r="E7" s="59">
        <f t="shared" si="0"/>
        <v>121553167.36</v>
      </c>
      <c r="F7" s="59">
        <f t="shared" si="0"/>
        <v>142654870.72999999</v>
      </c>
      <c r="G7" s="59">
        <f t="shared" si="0"/>
        <v>97601836.839999989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4190484.93</v>
      </c>
      <c r="C11" s="60">
        <v>4689529.4000000004</v>
      </c>
      <c r="D11" s="60">
        <v>5011354.09</v>
      </c>
      <c r="E11" s="60">
        <v>5080156.5</v>
      </c>
      <c r="F11" s="60">
        <v>5893516.5</v>
      </c>
      <c r="G11" s="60">
        <v>1763348</v>
      </c>
    </row>
    <row r="12" spans="1:7" x14ac:dyDescent="0.25">
      <c r="A12" s="53" t="s">
        <v>473</v>
      </c>
      <c r="B12" s="60">
        <v>4704217.95</v>
      </c>
      <c r="C12" s="60">
        <v>4178279.15</v>
      </c>
      <c r="D12" s="60">
        <v>3886367.88</v>
      </c>
      <c r="E12" s="60">
        <v>4459346.4400000004</v>
      </c>
      <c r="F12" s="60">
        <v>5399463.7699999996</v>
      </c>
      <c r="G12" s="60">
        <v>2322180.4500000002</v>
      </c>
    </row>
    <row r="13" spans="1:7" x14ac:dyDescent="0.25">
      <c r="A13" s="56" t="s">
        <v>474</v>
      </c>
      <c r="B13" s="60">
        <v>13784530.970000001</v>
      </c>
      <c r="C13" s="60">
        <v>5594370.5999999996</v>
      </c>
      <c r="D13" s="60">
        <v>4844748.7699999996</v>
      </c>
      <c r="E13" s="60">
        <v>4153820.31</v>
      </c>
      <c r="F13" s="60">
        <v>1903905</v>
      </c>
      <c r="G13" s="60">
        <v>1726110.54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476</v>
      </c>
      <c r="B15" s="60">
        <v>4902411.54</v>
      </c>
      <c r="C15" s="60">
        <v>3980283.39</v>
      </c>
      <c r="D15" s="60">
        <v>7118747.5700000003</v>
      </c>
      <c r="E15" s="60">
        <v>8163810.7199999997</v>
      </c>
      <c r="F15" s="60">
        <v>9994559.5199999996</v>
      </c>
      <c r="G15" s="60">
        <v>3255826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24"/>
    </row>
    <row r="17" spans="1:7" x14ac:dyDescent="0.25">
      <c r="A17" s="53" t="s">
        <v>3298</v>
      </c>
      <c r="B17" s="60">
        <v>70324788</v>
      </c>
      <c r="C17" s="60">
        <v>73841025.959999993</v>
      </c>
      <c r="D17" s="60">
        <v>76056256.739999995</v>
      </c>
      <c r="E17" s="60">
        <v>98337944.5</v>
      </c>
      <c r="F17" s="60">
        <v>113796841</v>
      </c>
      <c r="G17" s="24">
        <v>85347630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24"/>
    </row>
    <row r="19" spans="1:7" x14ac:dyDescent="0.25">
      <c r="A19" s="53" t="s">
        <v>479</v>
      </c>
      <c r="B19" s="60">
        <v>0</v>
      </c>
      <c r="C19" s="60">
        <v>4753580.82</v>
      </c>
      <c r="D19" s="60">
        <v>2417745.6</v>
      </c>
      <c r="E19" s="60">
        <v>1358088.89</v>
      </c>
      <c r="F19" s="60">
        <v>5666584.9400000004</v>
      </c>
      <c r="G19" s="60">
        <v>3186741.85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ht="14.25" x14ac:dyDescent="0.4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97906433.390000001</v>
      </c>
      <c r="C31" s="61">
        <f t="shared" ref="C31:G31" si="3">C7+C21+C28</f>
        <v>97037069.319999993</v>
      </c>
      <c r="D31" s="61">
        <f t="shared" si="3"/>
        <v>99335220.649999991</v>
      </c>
      <c r="E31" s="61">
        <f t="shared" si="3"/>
        <v>121553167.36</v>
      </c>
      <c r="F31" s="61">
        <f t="shared" si="3"/>
        <v>142654870.72999999</v>
      </c>
      <c r="G31" s="61">
        <f t="shared" si="3"/>
        <v>97601836.839999989</v>
      </c>
    </row>
    <row r="32" spans="1:7" ht="14.25" x14ac:dyDescent="0.45">
      <c r="A32" s="54"/>
      <c r="B32" s="54"/>
      <c r="C32" s="54"/>
      <c r="D32" s="54"/>
      <c r="E32" s="54"/>
      <c r="F32" s="54"/>
      <c r="G32" s="54"/>
    </row>
    <row r="33" spans="1:7" ht="14.25" x14ac:dyDescent="0.4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6" t="s">
        <v>3292</v>
      </c>
      <c r="B39" s="186"/>
      <c r="C39" s="186"/>
      <c r="D39" s="186"/>
      <c r="E39" s="186"/>
      <c r="F39" s="186"/>
      <c r="G39" s="186"/>
    </row>
    <row r="40" spans="1:7" ht="15" customHeight="1" x14ac:dyDescent="0.25">
      <c r="A40" s="186" t="s">
        <v>3293</v>
      </c>
      <c r="B40" s="186"/>
      <c r="C40" s="186"/>
      <c r="D40" s="186"/>
      <c r="E40" s="186"/>
      <c r="F40" s="186"/>
      <c r="G40" s="186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97906433.390000001</v>
      </c>
      <c r="Q2" s="18">
        <f>'Formato 7 c)'!C7</f>
        <v>97037069.319999993</v>
      </c>
      <c r="R2" s="18">
        <f>'Formato 7 c)'!D7</f>
        <v>99335220.649999991</v>
      </c>
      <c r="S2" s="18">
        <f>'Formato 7 c)'!E7</f>
        <v>121553167.36</v>
      </c>
      <c r="T2" s="18">
        <f>'Formato 7 c)'!F7</f>
        <v>142654870.72999999</v>
      </c>
      <c r="U2" s="18">
        <f>'Formato 7 c)'!G7</f>
        <v>97601836.839999989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4190484.93</v>
      </c>
      <c r="Q6" s="18">
        <f>'Formato 7 c)'!C11</f>
        <v>4689529.4000000004</v>
      </c>
      <c r="R6" s="18">
        <f>'Formato 7 c)'!D11</f>
        <v>5011354.09</v>
      </c>
      <c r="S6" s="18">
        <f>'Formato 7 c)'!E11</f>
        <v>5080156.5</v>
      </c>
      <c r="T6" s="18">
        <f>'Formato 7 c)'!F11</f>
        <v>5893516.5</v>
      </c>
      <c r="U6" s="18">
        <f>'Formato 7 c)'!G11</f>
        <v>1763348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4704217.95</v>
      </c>
      <c r="Q7" s="18">
        <f>'Formato 7 c)'!C12</f>
        <v>4178279.15</v>
      </c>
      <c r="R7" s="18">
        <f>'Formato 7 c)'!D12</f>
        <v>3886367.88</v>
      </c>
      <c r="S7" s="18">
        <f>'Formato 7 c)'!E12</f>
        <v>4459346.4400000004</v>
      </c>
      <c r="T7" s="18">
        <f>'Formato 7 c)'!F12</f>
        <v>5399463.7699999996</v>
      </c>
      <c r="U7" s="18">
        <f>'Formato 7 c)'!G12</f>
        <v>2322180.4500000002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13784530.970000001</v>
      </c>
      <c r="Q8" s="18">
        <f>'Formato 7 c)'!C13</f>
        <v>5594370.5999999996</v>
      </c>
      <c r="R8" s="18">
        <f>'Formato 7 c)'!D13</f>
        <v>4844748.7699999996</v>
      </c>
      <c r="S8" s="18">
        <f>'Formato 7 c)'!E13</f>
        <v>4153820.31</v>
      </c>
      <c r="T8" s="18">
        <f>'Formato 7 c)'!F13</f>
        <v>1903905</v>
      </c>
      <c r="U8" s="18">
        <f>'Formato 7 c)'!G13</f>
        <v>1726110.54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4902411.54</v>
      </c>
      <c r="Q10" s="18">
        <f>'Formato 7 c)'!C15</f>
        <v>3980283.39</v>
      </c>
      <c r="R10" s="18">
        <f>'Formato 7 c)'!D15</f>
        <v>7118747.5700000003</v>
      </c>
      <c r="S10" s="18">
        <f>'Formato 7 c)'!E15</f>
        <v>8163810.7199999997</v>
      </c>
      <c r="T10" s="18">
        <f>'Formato 7 c)'!F15</f>
        <v>9994559.5199999996</v>
      </c>
      <c r="U10" s="18">
        <f>'Formato 7 c)'!G15</f>
        <v>3255826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70324788</v>
      </c>
      <c r="Q12" s="18">
        <f>'Formato 7 c)'!C17</f>
        <v>73841025.959999993</v>
      </c>
      <c r="R12" s="18">
        <f>'Formato 7 c)'!D17</f>
        <v>76056256.739999995</v>
      </c>
      <c r="S12" s="18">
        <f>'Formato 7 c)'!E17</f>
        <v>98337944.5</v>
      </c>
      <c r="T12" s="18">
        <f>'Formato 7 c)'!F17</f>
        <v>113796841</v>
      </c>
      <c r="U12" s="18">
        <f>'Formato 7 c)'!G17</f>
        <v>85347630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4753580.82</v>
      </c>
      <c r="R14" s="18">
        <f>'Formato 7 c)'!D19</f>
        <v>2417745.6</v>
      </c>
      <c r="S14" s="18">
        <f>'Formato 7 c)'!E19</f>
        <v>1358088.89</v>
      </c>
      <c r="T14" s="18">
        <f>'Formato 7 c)'!F19</f>
        <v>5666584.9400000004</v>
      </c>
      <c r="U14" s="18">
        <f>'Formato 7 c)'!G19</f>
        <v>3186741.85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97906433.390000001</v>
      </c>
      <c r="Q23" s="18">
        <f>'Formato 7 c)'!C31</f>
        <v>97037069.319999993</v>
      </c>
      <c r="R23" s="18">
        <f>'Formato 7 c)'!D31</f>
        <v>99335220.649999991</v>
      </c>
      <c r="S23" s="18">
        <f>'Formato 7 c)'!E31</f>
        <v>121553167.36</v>
      </c>
      <c r="T23" s="18">
        <f>'Formato 7 c)'!F31</f>
        <v>142654870.72999999</v>
      </c>
      <c r="U23" s="18">
        <f>'Formato 7 c)'!G31</f>
        <v>97601836.839999989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2" t="s">
        <v>490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ENTIDAD</f>
        <v>Municipio de León, Gobierno del Estado de Guanajuato</v>
      </c>
      <c r="B2" s="155"/>
      <c r="C2" s="155"/>
      <c r="D2" s="155"/>
      <c r="E2" s="155"/>
      <c r="F2" s="155"/>
      <c r="G2" s="156"/>
    </row>
    <row r="3" spans="1:7" ht="14.25" x14ac:dyDescent="0.45">
      <c r="A3" s="157" t="s">
        <v>491</v>
      </c>
      <c r="B3" s="158"/>
      <c r="C3" s="158"/>
      <c r="D3" s="158"/>
      <c r="E3" s="158"/>
      <c r="F3" s="158"/>
      <c r="G3" s="159"/>
    </row>
    <row r="4" spans="1:7" ht="14.25" x14ac:dyDescent="0.45">
      <c r="A4" s="163" t="s">
        <v>118</v>
      </c>
      <c r="B4" s="164"/>
      <c r="C4" s="164"/>
      <c r="D4" s="164"/>
      <c r="E4" s="164"/>
      <c r="F4" s="164"/>
      <c r="G4" s="165"/>
    </row>
    <row r="5" spans="1:7" x14ac:dyDescent="0.25">
      <c r="A5" s="191" t="s">
        <v>3142</v>
      </c>
      <c r="B5" s="187" t="str">
        <f>ANIO5R</f>
        <v>2015 ¹ (c)</v>
      </c>
      <c r="C5" s="187" t="str">
        <f>ANIO4R</f>
        <v>2016 ¹ (c)</v>
      </c>
      <c r="D5" s="187" t="str">
        <f>ANIO3R</f>
        <v>2017 ¹ (c)</v>
      </c>
      <c r="E5" s="187" t="str">
        <f>ANIO2R</f>
        <v>2018 ¹ (c)</v>
      </c>
      <c r="F5" s="187" t="str">
        <f>ANIO1R</f>
        <v>2019 ¹ (c)</v>
      </c>
      <c r="G5" s="51">
        <f>ANIO_INFORME</f>
        <v>2020</v>
      </c>
    </row>
    <row r="6" spans="1:7" ht="32.1" customHeight="1" x14ac:dyDescent="0.25">
      <c r="A6" s="192"/>
      <c r="B6" s="188"/>
      <c r="C6" s="188"/>
      <c r="D6" s="188"/>
      <c r="E6" s="188"/>
      <c r="F6" s="188"/>
      <c r="G6" s="88" t="s">
        <v>3295</v>
      </c>
    </row>
    <row r="7" spans="1:7" ht="14.25" x14ac:dyDescent="0.45">
      <c r="A7" s="52" t="s">
        <v>492</v>
      </c>
      <c r="B7" s="59">
        <f>SUM(B8:B16)</f>
        <v>93467538.329999983</v>
      </c>
      <c r="C7" s="59">
        <f t="shared" ref="C7:F7" si="0">SUM(C8:C16)</f>
        <v>94412207.259999976</v>
      </c>
      <c r="D7" s="59">
        <f t="shared" si="0"/>
        <v>87080788.720000014</v>
      </c>
      <c r="E7" s="59">
        <f t="shared" si="0"/>
        <v>102595719.59999999</v>
      </c>
      <c r="F7" s="59">
        <f t="shared" si="0"/>
        <v>123491370.93000002</v>
      </c>
      <c r="G7" s="59">
        <f>SUM(G8:G16)</f>
        <v>90547771.460000008</v>
      </c>
    </row>
    <row r="8" spans="1:7" x14ac:dyDescent="0.25">
      <c r="A8" s="53" t="s">
        <v>454</v>
      </c>
      <c r="B8" s="60">
        <v>62153812.229999997</v>
      </c>
      <c r="C8" s="60">
        <v>65243197.509999998</v>
      </c>
      <c r="D8" s="60">
        <v>64089130.840000004</v>
      </c>
      <c r="E8" s="149">
        <v>79477548.629999995</v>
      </c>
      <c r="F8" s="24">
        <v>98366173.180000022</v>
      </c>
      <c r="G8" s="60">
        <v>76224212.340000004</v>
      </c>
    </row>
    <row r="9" spans="1:7" x14ac:dyDescent="0.25">
      <c r="A9" s="53" t="s">
        <v>455</v>
      </c>
      <c r="B9" s="60">
        <v>6124001.5</v>
      </c>
      <c r="C9" s="60">
        <v>6166466.75</v>
      </c>
      <c r="D9" s="60">
        <v>4761925.42</v>
      </c>
      <c r="E9" s="149">
        <v>4675661.41</v>
      </c>
      <c r="F9" s="24">
        <v>4742245.1300000008</v>
      </c>
      <c r="G9" s="60">
        <v>2803312.6399999992</v>
      </c>
    </row>
    <row r="10" spans="1:7" x14ac:dyDescent="0.25">
      <c r="A10" s="53" t="s">
        <v>456</v>
      </c>
      <c r="B10" s="60">
        <v>16119762.6</v>
      </c>
      <c r="C10" s="60">
        <v>16407902.07</v>
      </c>
      <c r="D10" s="60">
        <v>14440263.029999999</v>
      </c>
      <c r="E10" s="149">
        <v>13825398.279999999</v>
      </c>
      <c r="F10" s="24">
        <v>15510295.620000001</v>
      </c>
      <c r="G10" s="60">
        <v>8726408.0099999998</v>
      </c>
    </row>
    <row r="11" spans="1:7" x14ac:dyDescent="0.25">
      <c r="A11" s="53" t="s">
        <v>457</v>
      </c>
      <c r="B11" s="60">
        <v>5863730.5300000003</v>
      </c>
      <c r="C11" s="60">
        <v>4186231.36</v>
      </c>
      <c r="D11" s="60">
        <v>2867997.06</v>
      </c>
      <c r="E11" s="149">
        <v>3771208.42</v>
      </c>
      <c r="F11" s="24">
        <v>4712669.2000000011</v>
      </c>
      <c r="G11" s="60">
        <v>2718994.4800000004</v>
      </c>
    </row>
    <row r="12" spans="1:7" x14ac:dyDescent="0.25">
      <c r="A12" s="53" t="s">
        <v>458</v>
      </c>
      <c r="B12" s="60">
        <v>3206231.47</v>
      </c>
      <c r="C12" s="60">
        <v>1867782.49</v>
      </c>
      <c r="D12" s="60">
        <v>625042.44999999995</v>
      </c>
      <c r="E12" s="149">
        <v>845902.86</v>
      </c>
      <c r="F12" s="24">
        <v>159987.79999999999</v>
      </c>
      <c r="G12" s="60">
        <v>74843.989999999991</v>
      </c>
    </row>
    <row r="13" spans="1:7" x14ac:dyDescent="0.25">
      <c r="A13" s="53" t="s">
        <v>459</v>
      </c>
      <c r="B13" s="60">
        <v>0</v>
      </c>
      <c r="C13" s="60">
        <v>540627.07999999996</v>
      </c>
      <c r="D13" s="60">
        <v>296429.92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F18" si="1">SUM(C19:C27)</f>
        <v>0</v>
      </c>
      <c r="D18" s="61">
        <f>SUM(D19:D27)</f>
        <v>7666901.4700000007</v>
      </c>
      <c r="E18" s="61">
        <f t="shared" si="1"/>
        <v>8163810.6400000006</v>
      </c>
      <c r="F18" s="61">
        <f t="shared" si="1"/>
        <v>11897347.020000001</v>
      </c>
      <c r="G18" s="61">
        <f>SUM(G19:G27)</f>
        <v>5026200.97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24">
        <v>0</v>
      </c>
      <c r="G19" s="60">
        <v>9428.92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387066.3</v>
      </c>
      <c r="E20" s="60">
        <v>397903.24</v>
      </c>
      <c r="F20" s="24">
        <v>1910766.2000000002</v>
      </c>
      <c r="G20" s="60">
        <v>1377460.4000000001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274666.42</v>
      </c>
      <c r="E21" s="60">
        <v>0</v>
      </c>
      <c r="F21" s="24">
        <v>3218089.1799999997</v>
      </c>
      <c r="G21" s="60">
        <v>487825.01999999996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3200532.18</v>
      </c>
      <c r="E22" s="60">
        <v>4073307.66</v>
      </c>
      <c r="F22" s="24">
        <v>5346161.8499999996</v>
      </c>
      <c r="G22" s="60">
        <v>2093592.67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354930.54</v>
      </c>
      <c r="E23" s="60">
        <v>3692599.74</v>
      </c>
      <c r="F23" s="24">
        <v>1254869.82</v>
      </c>
      <c r="G23" s="60">
        <v>783600.90999999992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3449706.03</v>
      </c>
      <c r="E24" s="60">
        <v>0</v>
      </c>
      <c r="F24" s="24">
        <v>167459.97</v>
      </c>
      <c r="G24" s="60">
        <v>274293.05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93467538.329999983</v>
      </c>
      <c r="C29" s="60">
        <f t="shared" ref="C29:G29" si="2">C7+C18</f>
        <v>94412207.259999976</v>
      </c>
      <c r="D29" s="60">
        <f t="shared" si="2"/>
        <v>94747690.190000013</v>
      </c>
      <c r="E29" s="60">
        <f t="shared" si="2"/>
        <v>110759530.23999999</v>
      </c>
      <c r="F29" s="60">
        <f t="shared" si="2"/>
        <v>135388717.95000002</v>
      </c>
      <c r="G29" s="60">
        <f t="shared" si="2"/>
        <v>95573972.430000007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6" t="s">
        <v>3292</v>
      </c>
      <c r="B32" s="186"/>
      <c r="C32" s="186"/>
      <c r="D32" s="186"/>
      <c r="E32" s="186"/>
      <c r="F32" s="186"/>
      <c r="G32" s="186"/>
    </row>
    <row r="33" spans="1:7" x14ac:dyDescent="0.25">
      <c r="A33" s="186" t="s">
        <v>3293</v>
      </c>
      <c r="B33" s="186"/>
      <c r="C33" s="186"/>
      <c r="D33" s="186"/>
      <c r="E33" s="186"/>
      <c r="F33" s="186"/>
      <c r="G33" s="186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7 B13:C29 D13:G18 D25:G29 G19:G24 D19:E24 G8:G12 B8:E1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93467538.329999983</v>
      </c>
      <c r="Q2" s="18">
        <f>'Formato 7 d)'!C7</f>
        <v>94412207.259999976</v>
      </c>
      <c r="R2" s="18">
        <f>'Formato 7 d)'!D7</f>
        <v>87080788.720000014</v>
      </c>
      <c r="S2" s="18">
        <f>'Formato 7 d)'!E7</f>
        <v>102595719.59999999</v>
      </c>
      <c r="T2" s="18">
        <f>'Formato 7 d)'!F7</f>
        <v>123491370.93000002</v>
      </c>
      <c r="U2" s="18">
        <f>'Formato 7 d)'!G7</f>
        <v>90547771.460000008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 t="e">
        <f>'Formato 7 d)'!#REF!</f>
        <v>#REF!</v>
      </c>
      <c r="Q3" s="18">
        <f>'Formato 7 d)'!B8</f>
        <v>62153812.229999997</v>
      </c>
      <c r="R3" s="18">
        <f>'Formato 7 d)'!C8</f>
        <v>65243197.509999998</v>
      </c>
      <c r="S3" s="18">
        <f>'Formato 7 d)'!D8</f>
        <v>64089130.840000004</v>
      </c>
      <c r="T3" s="18">
        <f>'Formato 7 d)'!E8</f>
        <v>79477548.629999995</v>
      </c>
      <c r="U3" s="18">
        <f>'Formato 7 d)'!G8</f>
        <v>76224212.340000004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 t="e">
        <f>'Formato 7 d)'!#REF!</f>
        <v>#REF!</v>
      </c>
      <c r="Q4" s="18">
        <f>'Formato 7 d)'!B9</f>
        <v>6124001.5</v>
      </c>
      <c r="R4" s="18">
        <f>'Formato 7 d)'!C9</f>
        <v>6166466.75</v>
      </c>
      <c r="S4" s="18">
        <f>'Formato 7 d)'!D9</f>
        <v>4761925.42</v>
      </c>
      <c r="T4" s="18">
        <f>'Formato 7 d)'!E9</f>
        <v>4675661.41</v>
      </c>
      <c r="U4" s="18">
        <f>'Formato 7 d)'!G9</f>
        <v>2803312.6399999992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 t="e">
        <f>'Formato 7 d)'!#REF!</f>
        <v>#REF!</v>
      </c>
      <c r="Q5" s="18">
        <f>'Formato 7 d)'!B10</f>
        <v>16119762.6</v>
      </c>
      <c r="R5" s="18">
        <f>'Formato 7 d)'!C10</f>
        <v>16407902.07</v>
      </c>
      <c r="S5" s="18">
        <f>'Formato 7 d)'!D10</f>
        <v>14440263.029999999</v>
      </c>
      <c r="T5" s="18">
        <f>'Formato 7 d)'!E10</f>
        <v>13825398.279999999</v>
      </c>
      <c r="U5" s="18">
        <f>'Formato 7 d)'!G10</f>
        <v>8726408.0099999998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 t="e">
        <f>'Formato 7 d)'!#REF!</f>
        <v>#REF!</v>
      </c>
      <c r="Q6" s="18">
        <f>'Formato 7 d)'!B11</f>
        <v>5863730.5300000003</v>
      </c>
      <c r="R6" s="18">
        <f>'Formato 7 d)'!C11</f>
        <v>4186231.36</v>
      </c>
      <c r="S6" s="18">
        <f>'Formato 7 d)'!D11</f>
        <v>2867997.06</v>
      </c>
      <c r="T6" s="18">
        <f>'Formato 7 d)'!E11</f>
        <v>3771208.42</v>
      </c>
      <c r="U6" s="18">
        <f>'Formato 7 d)'!G11</f>
        <v>2718994.4800000004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 t="e">
        <f>'Formato 7 d)'!#REF!</f>
        <v>#REF!</v>
      </c>
      <c r="Q7" s="18">
        <f>'Formato 7 d)'!B12</f>
        <v>3206231.47</v>
      </c>
      <c r="R7" s="18">
        <f>'Formato 7 d)'!C12</f>
        <v>1867782.49</v>
      </c>
      <c r="S7" s="18">
        <f>'Formato 7 d)'!D12</f>
        <v>625042.44999999995</v>
      </c>
      <c r="T7" s="18">
        <f>'Formato 7 d)'!E12</f>
        <v>845902.86</v>
      </c>
      <c r="U7" s="18">
        <f>'Formato 7 d)'!G12</f>
        <v>74843.989999999991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540627.07999999996</v>
      </c>
      <c r="R8" s="18">
        <f>'Formato 7 d)'!D13</f>
        <v>296429.92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7666901.4700000007</v>
      </c>
      <c r="S12" s="18">
        <f>'Formato 7 d)'!E18</f>
        <v>8163810.6400000006</v>
      </c>
      <c r="T12" s="18">
        <f>'Formato 7 d)'!F18</f>
        <v>11897347.020000001</v>
      </c>
      <c r="U12" s="18">
        <f>'Formato 7 d)'!G18</f>
        <v>5026200.97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 t="e">
        <f>'Formato 7 d)'!#REF!</f>
        <v>#REF!</v>
      </c>
      <c r="S13" s="18">
        <f>'Formato 7 d)'!D19</f>
        <v>0</v>
      </c>
      <c r="T13" s="18">
        <f>'Formato 7 d)'!E19</f>
        <v>0</v>
      </c>
      <c r="U13" s="18">
        <f>'Formato 7 d)'!G19</f>
        <v>9428.92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 t="e">
        <f>'Formato 7 d)'!#REF!</f>
        <v>#REF!</v>
      </c>
      <c r="S14" s="18">
        <f>'Formato 7 d)'!D20</f>
        <v>387066.3</v>
      </c>
      <c r="T14" s="18">
        <f>'Formato 7 d)'!E20</f>
        <v>397903.24</v>
      </c>
      <c r="U14" s="18">
        <f>'Formato 7 d)'!G20</f>
        <v>1377460.4000000001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 t="e">
        <f>'Formato 7 d)'!#REF!</f>
        <v>#REF!</v>
      </c>
      <c r="S15" s="18">
        <f>'Formato 7 d)'!D21</f>
        <v>274666.42</v>
      </c>
      <c r="T15" s="18">
        <f>'Formato 7 d)'!E21</f>
        <v>0</v>
      </c>
      <c r="U15" s="18">
        <f>'Formato 7 d)'!G21</f>
        <v>487825.01999999996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 t="e">
        <f>'Formato 7 d)'!#REF!</f>
        <v>#REF!</v>
      </c>
      <c r="S16" s="18">
        <f>'Formato 7 d)'!D22</f>
        <v>3200532.18</v>
      </c>
      <c r="T16" s="18">
        <f>'Formato 7 d)'!E22</f>
        <v>4073307.66</v>
      </c>
      <c r="U16" s="18">
        <f>'Formato 7 d)'!G22</f>
        <v>2093592.67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 t="e">
        <f>'Formato 7 d)'!#REF!</f>
        <v>#REF!</v>
      </c>
      <c r="S17" s="18">
        <f>'Formato 7 d)'!D23</f>
        <v>354930.54</v>
      </c>
      <c r="T17" s="18">
        <f>'Formato 7 d)'!E23</f>
        <v>3692599.74</v>
      </c>
      <c r="U17" s="18">
        <f>'Formato 7 d)'!G23</f>
        <v>783600.90999999992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 t="e">
        <f>'Formato 7 d)'!#REF!</f>
        <v>#REF!</v>
      </c>
      <c r="S18" s="18">
        <f>'Formato 7 d)'!D24</f>
        <v>3449706.03</v>
      </c>
      <c r="T18" s="18">
        <f>'Formato 7 d)'!E24</f>
        <v>0</v>
      </c>
      <c r="U18" s="18">
        <f>'Formato 7 d)'!G24</f>
        <v>274293.05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93467538.329999983</v>
      </c>
      <c r="Q22" s="18">
        <f>'Formato 7 d)'!C29</f>
        <v>94412207.259999976</v>
      </c>
      <c r="R22" s="18">
        <f>'Formato 7 d)'!D29</f>
        <v>94747690.190000013</v>
      </c>
      <c r="S22" s="18">
        <f>'Formato 7 d)'!E29</f>
        <v>110759530.23999999</v>
      </c>
      <c r="T22" s="18">
        <f>'Formato 7 d)'!F29</f>
        <v>135388717.95000002</v>
      </c>
      <c r="U22" s="18">
        <f>'Formato 7 d)'!G29</f>
        <v>95573972.430000007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XFC67"/>
  <sheetViews>
    <sheetView showGridLines="0" tabSelected="1" topLeftCell="A52" zoomScale="90" zoomScaleNormal="90" workbookViewId="0">
      <selection activeCell="A3" sqref="C3:D3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6" t="s">
        <v>495</v>
      </c>
      <c r="B1" s="166"/>
      <c r="C1" s="166"/>
      <c r="D1" s="166"/>
      <c r="E1" s="166"/>
      <c r="F1" s="166"/>
      <c r="G1" s="111"/>
    </row>
    <row r="2" spans="1:7" ht="14.25" x14ac:dyDescent="0.45">
      <c r="A2" s="154" t="str">
        <f>ENTE_PUBLICO</f>
        <v>Sistema para el Desarrollo Integral de la Familia en el Municipio de Leon Guanajuato, Gobierno del Estado de Guanajuato</v>
      </c>
      <c r="B2" s="155"/>
      <c r="C2" s="155"/>
      <c r="D2" s="155"/>
      <c r="E2" s="155"/>
      <c r="F2" s="156"/>
    </row>
    <row r="3" spans="1:7" ht="14.25" x14ac:dyDescent="0.45">
      <c r="A3" s="163" t="s">
        <v>496</v>
      </c>
      <c r="B3" s="164"/>
      <c r="C3" s="164"/>
      <c r="D3" s="164"/>
      <c r="E3" s="164"/>
      <c r="F3" s="165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ht="14.25" x14ac:dyDescent="0.45">
      <c r="A31" s="137" t="s">
        <v>506</v>
      </c>
      <c r="B31" s="60"/>
      <c r="C31" s="60"/>
      <c r="D31" s="60"/>
      <c r="E31" s="60"/>
      <c r="F31" s="60"/>
    </row>
    <row r="32" spans="1:6" ht="14.25" x14ac:dyDescent="0.45">
      <c r="A32" s="137" t="s">
        <v>510</v>
      </c>
      <c r="B32" s="60"/>
      <c r="C32" s="60"/>
      <c r="D32" s="60"/>
      <c r="E32" s="60"/>
      <c r="F32" s="60"/>
    </row>
    <row r="33" spans="1:6" ht="14.25" x14ac:dyDescent="0.45">
      <c r="A33" s="137" t="s">
        <v>522</v>
      </c>
      <c r="B33" s="60"/>
      <c r="C33" s="60"/>
      <c r="D33" s="60"/>
      <c r="E33" s="60"/>
      <c r="F33" s="60"/>
    </row>
    <row r="34" spans="1:6" ht="14.25" x14ac:dyDescent="0.4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ht="14.25" x14ac:dyDescent="0.45">
      <c r="A38" s="137" t="s">
        <v>526</v>
      </c>
      <c r="B38" s="147"/>
      <c r="C38" s="60"/>
      <c r="D38" s="60"/>
      <c r="E38" s="60"/>
      <c r="F38" s="60"/>
    </row>
    <row r="39" spans="1:6" ht="14.25" x14ac:dyDescent="0.45">
      <c r="A39" s="138"/>
      <c r="B39" s="54"/>
      <c r="C39" s="54"/>
      <c r="D39" s="54"/>
      <c r="E39" s="54"/>
      <c r="F39" s="54"/>
    </row>
    <row r="40" spans="1:6" ht="14.25" x14ac:dyDescent="0.45">
      <c r="A40" s="136" t="s">
        <v>527</v>
      </c>
      <c r="B40" s="60"/>
      <c r="C40" s="60"/>
      <c r="D40" s="60"/>
      <c r="E40" s="60"/>
      <c r="F40" s="60"/>
    </row>
    <row r="41" spans="1:6" ht="14.25" x14ac:dyDescent="0.4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topLeftCell="A22" zoomScale="130" zoomScaleNormal="130" workbookViewId="0">
      <selection activeCell="A3" sqref="C3:D3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6" t="s">
        <v>545</v>
      </c>
      <c r="B1" s="166"/>
      <c r="C1" s="166"/>
      <c r="D1" s="166"/>
      <c r="E1" s="166"/>
      <c r="F1" s="166"/>
    </row>
    <row r="2" spans="1:6" ht="14.25" x14ac:dyDescent="0.45">
      <c r="A2" s="154" t="str">
        <f>ENTE_PUBLICO_A</f>
        <v>Sistema para el Desarrollo Integral de la Familia en el Municipio de Leon Guanajuato, Gobierno del Estado de Guanajuato (a)</v>
      </c>
      <c r="B2" s="155"/>
      <c r="C2" s="155"/>
      <c r="D2" s="155"/>
      <c r="E2" s="155"/>
      <c r="F2" s="156"/>
    </row>
    <row r="3" spans="1:6" x14ac:dyDescent="0.25">
      <c r="A3" s="157" t="s">
        <v>117</v>
      </c>
      <c r="B3" s="158"/>
      <c r="C3" s="158"/>
      <c r="D3" s="158"/>
      <c r="E3" s="158"/>
      <c r="F3" s="159"/>
    </row>
    <row r="4" spans="1:6" ht="14.25" x14ac:dyDescent="0.45">
      <c r="A4" s="160" t="str">
        <f>PERIODO_INFORME</f>
        <v>Al 31 de diciembre de 2019 y al 30 de septiembre de 2020 (b)</v>
      </c>
      <c r="B4" s="161"/>
      <c r="C4" s="161"/>
      <c r="D4" s="161"/>
      <c r="E4" s="161"/>
      <c r="F4" s="162"/>
    </row>
    <row r="5" spans="1:6" ht="14.25" x14ac:dyDescent="0.45">
      <c r="A5" s="163" t="s">
        <v>118</v>
      </c>
      <c r="B5" s="164"/>
      <c r="C5" s="164"/>
      <c r="D5" s="164"/>
      <c r="E5" s="164"/>
      <c r="F5" s="165"/>
    </row>
    <row r="6" spans="1:6" s="3" customFormat="1" ht="28.5" x14ac:dyDescent="0.45">
      <c r="A6" s="133" t="s">
        <v>3284</v>
      </c>
      <c r="B6" s="134" t="str">
        <f>ANIO</f>
        <v>2020 (d)</v>
      </c>
      <c r="C6" s="131" t="str">
        <f>ULTIMO</f>
        <v>31 de diciembre de 2019 (e)</v>
      </c>
      <c r="D6" s="135" t="s">
        <v>0</v>
      </c>
      <c r="E6" s="134" t="str">
        <f>ANIO</f>
        <v>2020 (d)</v>
      </c>
      <c r="F6" s="131" t="str">
        <f>ULTIMO</f>
        <v>31 de diciembre de 2019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22488726.779999997</v>
      </c>
      <c r="C9" s="60">
        <f>SUM(C10:C16)</f>
        <v>24299345.460000001</v>
      </c>
      <c r="D9" s="100" t="s">
        <v>54</v>
      </c>
      <c r="E9" s="60">
        <f>SUM(E10:E18)</f>
        <v>3565986.4000000004</v>
      </c>
      <c r="F9" s="60">
        <f>SUM(F10:F18)</f>
        <v>6556570.75</v>
      </c>
    </row>
    <row r="10" spans="1:6" x14ac:dyDescent="0.25">
      <c r="A10" s="96" t="s">
        <v>4</v>
      </c>
      <c r="B10" s="60">
        <v>99000.06</v>
      </c>
      <c r="C10" s="60">
        <v>105465</v>
      </c>
      <c r="D10" s="101" t="s">
        <v>55</v>
      </c>
      <c r="E10" s="60">
        <v>9143.08</v>
      </c>
      <c r="F10" s="60">
        <v>2876.52</v>
      </c>
    </row>
    <row r="11" spans="1:6" x14ac:dyDescent="0.25">
      <c r="A11" s="96" t="s">
        <v>5</v>
      </c>
      <c r="B11" s="60">
        <v>21707203.59</v>
      </c>
      <c r="C11" s="60">
        <v>24193880.460000001</v>
      </c>
      <c r="D11" s="101" t="s">
        <v>56</v>
      </c>
      <c r="E11" s="60">
        <v>40500</v>
      </c>
      <c r="F11" s="60">
        <v>346821.82</v>
      </c>
    </row>
    <row r="12" spans="1:6" x14ac:dyDescent="0.25">
      <c r="A12" s="96" t="s">
        <v>6</v>
      </c>
      <c r="B12" s="77">
        <v>0</v>
      </c>
      <c r="C12" s="77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60">
        <v>682523.13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0</v>
      </c>
      <c r="C14" s="60">
        <v>0</v>
      </c>
      <c r="D14" s="101" t="s">
        <v>59</v>
      </c>
      <c r="E14" s="60">
        <v>337320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348508.84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2654571.2400000002</v>
      </c>
      <c r="F16" s="60">
        <v>5768384.1299999999</v>
      </c>
    </row>
    <row r="17" spans="1:6" x14ac:dyDescent="0.25">
      <c r="A17" s="95" t="s">
        <v>11</v>
      </c>
      <c r="B17" s="60">
        <f>SUM(B18:B24)</f>
        <v>10603407.779999999</v>
      </c>
      <c r="C17" s="60">
        <f>SUM(C18:C24)</f>
        <v>645074.27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175943.24</v>
      </c>
      <c r="F18" s="60">
        <v>438488.28</v>
      </c>
    </row>
    <row r="19" spans="1:6" ht="14.25" x14ac:dyDescent="0.45">
      <c r="A19" s="97" t="s">
        <v>13</v>
      </c>
      <c r="B19" s="60">
        <v>0</v>
      </c>
      <c r="C19" s="60">
        <v>0</v>
      </c>
      <c r="D19" s="100" t="s">
        <v>64</v>
      </c>
      <c r="E19" s="60">
        <f>SUM(E20:E22)</f>
        <v>5898532.3600000003</v>
      </c>
      <c r="F19" s="60">
        <f>SUM(F20:F22)</f>
        <v>0</v>
      </c>
    </row>
    <row r="20" spans="1:6" x14ac:dyDescent="0.25">
      <c r="A20" s="97" t="s">
        <v>14</v>
      </c>
      <c r="B20" s="60">
        <v>30337.78</v>
      </c>
      <c r="C20" s="60">
        <v>55074.27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10573070</v>
      </c>
      <c r="C21" s="60">
        <v>590000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5898532.3600000003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17134.650000000001</v>
      </c>
      <c r="C25" s="60">
        <f>SUM(C26:C30)</f>
        <v>82287.92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17134.650000000001</v>
      </c>
      <c r="C26" s="60">
        <v>82287.92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33109269.209999993</v>
      </c>
      <c r="C47" s="61">
        <f>C9+C17+C25+C31+C38+C41</f>
        <v>25026707.650000002</v>
      </c>
      <c r="D47" s="99" t="s">
        <v>91</v>
      </c>
      <c r="E47" s="61">
        <f>E9+E19+E23+E26+E27+E31+E38+E42</f>
        <v>9464518.7600000016</v>
      </c>
      <c r="F47" s="61">
        <f>F9+F19+F23+F26+F27+F31+F38+F42</f>
        <v>6556570.75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70000</v>
      </c>
      <c r="C51" s="60">
        <v>70000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78908443.769999996</v>
      </c>
      <c r="C52" s="60">
        <v>78634150.719999999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38984340.200000003</v>
      </c>
      <c r="C53" s="60">
        <v>38415500.890000001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19087.8</v>
      </c>
      <c r="C54" s="60">
        <v>19087.8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-53426478.950000003</v>
      </c>
      <c r="C55" s="60">
        <v>-50544166.219999999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289605.59999999998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9464518.7600000016</v>
      </c>
      <c r="F59" s="61">
        <f>F47+F57</f>
        <v>6556570.75</v>
      </c>
    </row>
    <row r="60" spans="1:6" x14ac:dyDescent="0.25">
      <c r="A60" s="55" t="s">
        <v>50</v>
      </c>
      <c r="B60" s="61">
        <f>SUM(B50:B58)</f>
        <v>64844998.419999994</v>
      </c>
      <c r="C60" s="61">
        <f>SUM(C50:C58)</f>
        <v>66594573.189999998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97954267.629999995</v>
      </c>
      <c r="C62" s="61">
        <f>SUM(C47+C60)</f>
        <v>91621280.840000004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79700086</v>
      </c>
      <c r="F63" s="77">
        <f>SUM(F64:F66)</f>
        <v>79700086</v>
      </c>
    </row>
    <row r="64" spans="1:6" x14ac:dyDescent="0.25">
      <c r="A64" s="54"/>
      <c r="B64" s="54"/>
      <c r="C64" s="54"/>
      <c r="D64" s="103" t="s">
        <v>103</v>
      </c>
      <c r="E64" s="77">
        <v>79700086</v>
      </c>
      <c r="F64" s="77">
        <v>79700086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8789662.870000001</v>
      </c>
      <c r="F68" s="77">
        <f>SUM(F69:F73)</f>
        <v>5364624.0900000008</v>
      </c>
    </row>
    <row r="69" spans="1:6" x14ac:dyDescent="0.25">
      <c r="A69" s="12"/>
      <c r="B69" s="54"/>
      <c r="C69" s="54"/>
      <c r="D69" s="103" t="s">
        <v>107</v>
      </c>
      <c r="E69" s="77">
        <v>7171788.7800000003</v>
      </c>
      <c r="F69" s="77">
        <v>-750886.85</v>
      </c>
    </row>
    <row r="70" spans="1:6" x14ac:dyDescent="0.25">
      <c r="A70" s="12"/>
      <c r="B70" s="54"/>
      <c r="C70" s="54"/>
      <c r="D70" s="103" t="s">
        <v>108</v>
      </c>
      <c r="E70" s="77">
        <v>1617874.09</v>
      </c>
      <c r="F70" s="77">
        <v>6115510.9400000004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88489748.870000005</v>
      </c>
      <c r="F79" s="61">
        <f>F63+F68+F75</f>
        <v>85064710.090000004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97954267.63000001</v>
      </c>
      <c r="F81" s="61">
        <f>F59+F79</f>
        <v>91621280.840000004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66" right="0.23622047244094491" top="0.23" bottom="1.19" header="0.17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22488726.779999997</v>
      </c>
      <c r="Q4" s="18">
        <f>'Formato 1'!C9</f>
        <v>24299345.460000001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99000.06</v>
      </c>
      <c r="Q5" s="18">
        <f>'Formato 1'!C10</f>
        <v>105465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21707203.59</v>
      </c>
      <c r="Q6" s="18">
        <f>'Formato 1'!C11</f>
        <v>24193880.460000001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682523.13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10603407.779999999</v>
      </c>
      <c r="Q12" s="18">
        <f>'Formato 1'!C17</f>
        <v>645074.27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30337.78</v>
      </c>
      <c r="Q15" s="18">
        <f>'Formato 1'!C20</f>
        <v>55074.27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10573070</v>
      </c>
      <c r="Q16" s="18">
        <f>'Formato 1'!C21</f>
        <v>590000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17134.650000000001</v>
      </c>
      <c r="Q20" s="18">
        <f>'Formato 1'!C25</f>
        <v>82287.92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17134.650000000001</v>
      </c>
      <c r="Q21" s="18">
        <f>'Formato 1'!C26</f>
        <v>82287.92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33109269.209999993</v>
      </c>
      <c r="Q42" s="18">
        <f>'Formato 1'!C47</f>
        <v>25026707.650000002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70000</v>
      </c>
      <c r="Q45">
        <f>'Formato 1'!C51</f>
        <v>70000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78908443.769999996</v>
      </c>
      <c r="Q46">
        <f>'Formato 1'!C52</f>
        <v>78634150.719999999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38984340.200000003</v>
      </c>
      <c r="Q47">
        <f>'Formato 1'!C53</f>
        <v>38415500.890000001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19087.8</v>
      </c>
      <c r="Q48">
        <f>'Formato 1'!C54</f>
        <v>19087.8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-53426478.950000003</v>
      </c>
      <c r="Q49">
        <f>'Formato 1'!C55</f>
        <v>-50544166.219999999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289605.59999999998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64844998.419999994</v>
      </c>
      <c r="Q53">
        <f>'Formato 1'!C60</f>
        <v>66594573.189999998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97954267.629999995</v>
      </c>
      <c r="Q54">
        <f>'Formato 1'!C62</f>
        <v>91621280.840000004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3565986.4000000004</v>
      </c>
      <c r="Q57">
        <f>'Formato 1'!F9</f>
        <v>6556570.75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9143.08</v>
      </c>
      <c r="Q58">
        <f>'Formato 1'!F10</f>
        <v>2876.52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40500</v>
      </c>
      <c r="Q59">
        <f>'Formato 1'!F11</f>
        <v>346821.82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337320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348508.84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2654571.2400000002</v>
      </c>
      <c r="Q64">
        <f>'Formato 1'!F16</f>
        <v>5768384.1299999999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175943.24</v>
      </c>
      <c r="Q66">
        <f>'Formato 1'!F18</f>
        <v>438488.28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5898532.3600000003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5898532.3600000003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9464518.7600000016</v>
      </c>
      <c r="Q95">
        <f>'Formato 1'!F47</f>
        <v>6556570.75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9464518.7600000016</v>
      </c>
      <c r="Q104">
        <f>'Formato 1'!F59</f>
        <v>6556570.75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79700086</v>
      </c>
      <c r="Q106">
        <f>'Formato 1'!F63</f>
        <v>79700086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79700086</v>
      </c>
      <c r="Q107">
        <f>'Formato 1'!F64</f>
        <v>79700086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8789662.870000001</v>
      </c>
      <c r="Q110">
        <f>'Formato 1'!F68</f>
        <v>5364624.0900000008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7171788.7800000003</v>
      </c>
      <c r="Q111">
        <f>'Formato 1'!F69</f>
        <v>-750886.85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1617874.09</v>
      </c>
      <c r="Q112">
        <f>'Formato 1'!F70</f>
        <v>6115510.9400000004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88489748.870000005</v>
      </c>
      <c r="Q119">
        <f>'Formato 1'!F79</f>
        <v>85064710.090000004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97954267.63000001</v>
      </c>
      <c r="Q120">
        <f>'Formato 1'!F81</f>
        <v>91621280.840000004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8" t="s">
        <v>544</v>
      </c>
      <c r="B1" s="168"/>
      <c r="C1" s="168"/>
      <c r="D1" s="168"/>
      <c r="E1" s="168"/>
      <c r="F1" s="168"/>
      <c r="G1" s="168"/>
      <c r="H1" s="168"/>
    </row>
    <row r="2" spans="1:9" ht="14.25" x14ac:dyDescent="0.45">
      <c r="A2" s="154" t="str">
        <f>ENTE_PUBLICO_A</f>
        <v>Sistema para el Desarrollo Integral de la Familia en el Municipio de Leon Guanajuato, Gobierno del Estado de Guanajuato (a)</v>
      </c>
      <c r="B2" s="155"/>
      <c r="C2" s="155"/>
      <c r="D2" s="155"/>
      <c r="E2" s="155"/>
      <c r="F2" s="155"/>
      <c r="G2" s="155"/>
      <c r="H2" s="156"/>
    </row>
    <row r="3" spans="1:9" x14ac:dyDescent="0.25">
      <c r="A3" s="157" t="s">
        <v>120</v>
      </c>
      <c r="B3" s="158"/>
      <c r="C3" s="158"/>
      <c r="D3" s="158"/>
      <c r="E3" s="158"/>
      <c r="F3" s="158"/>
      <c r="G3" s="158"/>
      <c r="H3" s="159"/>
    </row>
    <row r="4" spans="1:9" ht="14.25" x14ac:dyDescent="0.45">
      <c r="A4" s="160" t="str">
        <f>PERIODO_INFORME</f>
        <v>Al 31 de diciembre de 2019 y al 30 de septiembre de 2020 (b)</v>
      </c>
      <c r="B4" s="161"/>
      <c r="C4" s="161"/>
      <c r="D4" s="161"/>
      <c r="E4" s="161"/>
      <c r="F4" s="161"/>
      <c r="G4" s="161"/>
      <c r="H4" s="162"/>
    </row>
    <row r="5" spans="1:9" ht="14.25" x14ac:dyDescent="0.45">
      <c r="A5" s="163" t="s">
        <v>118</v>
      </c>
      <c r="B5" s="164"/>
      <c r="C5" s="164"/>
      <c r="D5" s="164"/>
      <c r="E5" s="164"/>
      <c r="F5" s="164"/>
      <c r="G5" s="164"/>
      <c r="H5" s="165"/>
    </row>
    <row r="6" spans="1:9" ht="45" x14ac:dyDescent="0.25">
      <c r="A6" s="104" t="s">
        <v>121</v>
      </c>
      <c r="B6" s="105" t="str">
        <f>ULTIMO_SALDO</f>
        <v>Saldo al 31 de diciembre de 2019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6556570.75</v>
      </c>
      <c r="C18" s="132"/>
      <c r="D18" s="132"/>
      <c r="E18" s="132"/>
      <c r="F18" s="61">
        <v>9464518.7599999998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6556570.75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9464518.7599999998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7" t="s">
        <v>3300</v>
      </c>
      <c r="B33" s="167"/>
      <c r="C33" s="167"/>
      <c r="D33" s="167"/>
      <c r="E33" s="167"/>
      <c r="F33" s="167"/>
      <c r="G33" s="167"/>
      <c r="H33" s="167"/>
    </row>
    <row r="34" spans="1:8" ht="12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2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2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2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37" right="0.28999999999999998" top="0.74803149606299213" bottom="0.74803149606299213" header="0.31496062992125984" footer="0.31496062992125984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6556570.75</v>
      </c>
      <c r="Q12" s="18"/>
      <c r="R12" s="18"/>
      <c r="S12" s="18"/>
      <c r="T12" s="18">
        <f>'Formato 2'!F18</f>
        <v>9464518.7599999998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6556570.75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9464518.7599999998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tabSelected="1" zoomScale="90" zoomScaleNormal="90" workbookViewId="0">
      <selection activeCell="A3" sqref="C3:D3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6" t="s">
        <v>543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11"/>
    </row>
    <row r="2" spans="1:12" ht="14.25" x14ac:dyDescent="0.45">
      <c r="A2" s="154" t="str">
        <f>ENTE_PUBLICO_A</f>
        <v>Sistema para el Desarrollo Integral de la Familia en el Municipio de Leon Guanajuato, Gobierno del Estado de Guanajuato (a)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2" x14ac:dyDescent="0.25">
      <c r="A3" s="157" t="s">
        <v>146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2" ht="14.25" x14ac:dyDescent="0.45">
      <c r="A4" s="160" t="str">
        <f>TRIMESTRE</f>
        <v>Del 1 de enero al 30 de septiembre de 2020 (b)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2" ht="14.25" x14ac:dyDescent="0.45">
      <c r="A5" s="157" t="s">
        <v>118</v>
      </c>
      <c r="B5" s="158"/>
      <c r="C5" s="158"/>
      <c r="D5" s="158"/>
      <c r="E5" s="158"/>
      <c r="F5" s="158"/>
      <c r="G5" s="158"/>
      <c r="H5" s="158"/>
      <c r="I5" s="158"/>
      <c r="J5" s="158"/>
      <c r="K5" s="159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septiembre de 2020 (k)</v>
      </c>
      <c r="J6" s="131" t="str">
        <f>MONTO2</f>
        <v>Monto pagado de la inversión actualizado al 30 de septiembre de 2020 (l)</v>
      </c>
      <c r="K6" s="131" t="str">
        <f>SALDO_PENDIENTE</f>
        <v>Saldo pendiente por pagar de la inversión al 30 de septiembre de 2020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4</v>
      </c>
      <c r="F8" s="129"/>
      <c r="G8" s="61">
        <f>SUM(G9:APP_FIN_06)</f>
        <v>4</v>
      </c>
      <c r="H8" s="61">
        <f>SUM(H9:APP_FIN_07)</f>
        <v>4</v>
      </c>
      <c r="I8" s="61">
        <f>SUM(I9:APP_FIN_08)</f>
        <v>4</v>
      </c>
      <c r="J8" s="61">
        <f>SUM(J9:APP_FIN_09)</f>
        <v>4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>
        <v>1</v>
      </c>
      <c r="F9" s="60">
        <v>80</v>
      </c>
      <c r="G9" s="60">
        <v>1</v>
      </c>
      <c r="H9" s="60">
        <v>1</v>
      </c>
      <c r="I9" s="60">
        <v>1</v>
      </c>
      <c r="J9" s="60">
        <v>1</v>
      </c>
      <c r="K9" s="60">
        <f>E9-J9</f>
        <v>0</v>
      </c>
    </row>
    <row r="10" spans="1:12" s="24" customFormat="1" x14ac:dyDescent="0.25">
      <c r="A10" s="114" t="s">
        <v>157</v>
      </c>
      <c r="B10" s="112"/>
      <c r="C10" s="112"/>
      <c r="D10" s="112"/>
      <c r="E10" s="60">
        <v>1</v>
      </c>
      <c r="F10" s="60">
        <v>70</v>
      </c>
      <c r="G10" s="60">
        <v>1</v>
      </c>
      <c r="H10" s="60">
        <v>1</v>
      </c>
      <c r="I10" s="60">
        <v>1</v>
      </c>
      <c r="J10" s="60">
        <v>1</v>
      </c>
      <c r="K10" s="60">
        <f t="shared" ref="K10:K12" si="0">E10-J10</f>
        <v>0</v>
      </c>
    </row>
    <row r="11" spans="1:12" s="24" customFormat="1" x14ac:dyDescent="0.25">
      <c r="A11" s="114" t="s">
        <v>158</v>
      </c>
      <c r="B11" s="112"/>
      <c r="C11" s="112"/>
      <c r="D11" s="112"/>
      <c r="E11" s="60">
        <v>1</v>
      </c>
      <c r="F11" s="60">
        <v>60</v>
      </c>
      <c r="G11" s="60">
        <v>1</v>
      </c>
      <c r="H11" s="60">
        <v>1</v>
      </c>
      <c r="I11" s="60">
        <v>1</v>
      </c>
      <c r="J11" s="60">
        <v>1</v>
      </c>
      <c r="K11" s="60">
        <f t="shared" si="0"/>
        <v>0</v>
      </c>
    </row>
    <row r="12" spans="1:12" s="24" customFormat="1" x14ac:dyDescent="0.25">
      <c r="A12" s="114" t="s">
        <v>159</v>
      </c>
      <c r="B12" s="112"/>
      <c r="C12" s="112"/>
      <c r="D12" s="112"/>
      <c r="E12" s="60">
        <v>1</v>
      </c>
      <c r="F12" s="60">
        <v>50</v>
      </c>
      <c r="G12" s="60">
        <v>1</v>
      </c>
      <c r="H12" s="60">
        <v>1</v>
      </c>
      <c r="I12" s="60">
        <v>1</v>
      </c>
      <c r="J12" s="60">
        <v>1</v>
      </c>
      <c r="K12" s="60">
        <f t="shared" si="0"/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4</v>
      </c>
      <c r="F14" s="129"/>
      <c r="G14" s="61">
        <f>SUM(G15:OTROS_FIN_06)</f>
        <v>4</v>
      </c>
      <c r="H14" s="61">
        <f>SUM(H15:OTROS_FIN_07)</f>
        <v>4</v>
      </c>
      <c r="I14" s="61">
        <f>SUM(I15:OTROS_FIN_08)</f>
        <v>4</v>
      </c>
      <c r="J14" s="61">
        <f>SUM(J15:OTROS_FIN_09)</f>
        <v>4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>
        <v>1</v>
      </c>
      <c r="F15" s="60">
        <v>40</v>
      </c>
      <c r="G15" s="60">
        <v>1</v>
      </c>
      <c r="H15" s="60">
        <v>1</v>
      </c>
      <c r="I15" s="60">
        <v>1</v>
      </c>
      <c r="J15" s="60">
        <v>1</v>
      </c>
      <c r="K15" s="60">
        <f>E15-J15</f>
        <v>0</v>
      </c>
    </row>
    <row r="16" spans="1:12" s="24" customFormat="1" x14ac:dyDescent="0.25">
      <c r="A16" s="114" t="s">
        <v>162</v>
      </c>
      <c r="B16" s="112"/>
      <c r="C16" s="112"/>
      <c r="D16" s="112"/>
      <c r="E16" s="60">
        <v>1</v>
      </c>
      <c r="F16" s="60">
        <v>30</v>
      </c>
      <c r="G16" s="60">
        <v>1</v>
      </c>
      <c r="H16" s="60">
        <v>1</v>
      </c>
      <c r="I16" s="60">
        <v>1</v>
      </c>
      <c r="J16" s="60">
        <v>1</v>
      </c>
      <c r="K16" s="60">
        <f t="shared" ref="K16:K18" si="1">E16-J16</f>
        <v>0</v>
      </c>
    </row>
    <row r="17" spans="1:11" s="24" customFormat="1" x14ac:dyDescent="0.25">
      <c r="A17" s="114" t="s">
        <v>163</v>
      </c>
      <c r="B17" s="112"/>
      <c r="C17" s="112"/>
      <c r="D17" s="112"/>
      <c r="E17" s="60">
        <v>1</v>
      </c>
      <c r="F17" s="60">
        <v>20</v>
      </c>
      <c r="G17" s="60">
        <v>1</v>
      </c>
      <c r="H17" s="60">
        <v>1</v>
      </c>
      <c r="I17" s="60">
        <v>1</v>
      </c>
      <c r="J17" s="60">
        <v>1</v>
      </c>
      <c r="K17" s="60">
        <f t="shared" si="1"/>
        <v>0</v>
      </c>
    </row>
    <row r="18" spans="1:11" s="24" customFormat="1" x14ac:dyDescent="0.25">
      <c r="A18" s="114" t="s">
        <v>164</v>
      </c>
      <c r="B18" s="112"/>
      <c r="C18" s="112"/>
      <c r="D18" s="112"/>
      <c r="E18" s="60">
        <v>1</v>
      </c>
      <c r="F18" s="60">
        <v>10</v>
      </c>
      <c r="G18" s="60">
        <v>1</v>
      </c>
      <c r="H18" s="60">
        <v>1</v>
      </c>
      <c r="I18" s="60">
        <v>1</v>
      </c>
      <c r="J18" s="60">
        <v>1</v>
      </c>
      <c r="K18" s="60">
        <f t="shared" si="1"/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8</v>
      </c>
      <c r="F20" s="129"/>
      <c r="G20" s="61">
        <f>APP_T6+OTROS_T6</f>
        <v>8</v>
      </c>
      <c r="H20" s="61">
        <f>APP_T7+OTROS_T7</f>
        <v>8</v>
      </c>
      <c r="I20" s="61">
        <f>APP_T8+OTROS_T8</f>
        <v>8</v>
      </c>
      <c r="J20" s="61">
        <f>APP_T9+OTROS_T9</f>
        <v>8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4</v>
      </c>
      <c r="T3" s="18"/>
      <c r="U3" s="18">
        <f>APP_T6</f>
        <v>4</v>
      </c>
      <c r="V3" s="18">
        <f>APP_T7</f>
        <v>4</v>
      </c>
      <c r="W3">
        <f>APP_T8</f>
        <v>4</v>
      </c>
      <c r="X3">
        <f>APP_T9</f>
        <v>4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4</v>
      </c>
      <c r="T4" s="18"/>
      <c r="U4" s="18">
        <f>OTROS_T6</f>
        <v>4</v>
      </c>
      <c r="V4" s="18">
        <f>OTROS_T7</f>
        <v>4</v>
      </c>
      <c r="W4">
        <f>OTROS_T8</f>
        <v>4</v>
      </c>
      <c r="X4">
        <f>OTROS_T9</f>
        <v>4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8</v>
      </c>
      <c r="T5" s="18"/>
      <c r="U5" s="18">
        <f>TOTAL_ODF_T6</f>
        <v>8</v>
      </c>
      <c r="V5" s="18">
        <f>TOTAL_ODF_T7</f>
        <v>8</v>
      </c>
      <c r="W5" s="18">
        <f>TOTAL_ODF_T8</f>
        <v>8</v>
      </c>
      <c r="X5" s="18">
        <f>TOTAL_ODF_T9</f>
        <v>8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Luffi</cp:lastModifiedBy>
  <cp:lastPrinted>2020-10-26T17:51:22Z</cp:lastPrinted>
  <dcterms:created xsi:type="dcterms:W3CDTF">2017-01-19T17:59:06Z</dcterms:created>
  <dcterms:modified xsi:type="dcterms:W3CDTF">2020-10-26T17:51:47Z</dcterms:modified>
</cp:coreProperties>
</file>